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yOEX7BqTZ00T0k8cwANL/KhHHAPGDLgbafy5KymjAx2H9kkr66C81wvdl6sRU1LO+ScJPyVrelPC1s7yMNt2IA==" workbookSaltValue="Vo4oxEmZ0n5s/l4V7KZ4L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F12" i="21" s="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G12" i="12" s="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BF16" i="8" s="1"/>
  <c r="AZ16" i="8"/>
  <c r="AY16" i="8"/>
  <c r="BB15" i="8"/>
  <c r="BA15" i="8"/>
  <c r="AZ15" i="8"/>
  <c r="AY15" i="8"/>
  <c r="BB12" i="8"/>
  <c r="BA12" i="8"/>
  <c r="BE12"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D11" i="13"/>
  <c r="B13" i="7"/>
  <c r="E18" i="12"/>
  <c r="EL19" i="8"/>
  <c r="AP12" i="11"/>
  <c r="EN19" i="8"/>
  <c r="BA13" i="16"/>
  <c r="J10" i="2"/>
  <c r="AP10" i="11"/>
  <c r="T10" i="21"/>
  <c r="ES19" i="8"/>
  <c r="G18" i="12"/>
  <c r="C18" i="7"/>
  <c r="BM19" i="8"/>
  <c r="AL13" i="16"/>
  <c r="S13" i="16"/>
  <c r="P13" i="16"/>
  <c r="AM13" i="20"/>
  <c r="Z13" i="17"/>
  <c r="M18" i="2"/>
  <c r="F13" i="7"/>
  <c r="T13" i="12"/>
  <c r="BD9" i="8"/>
  <c r="T13" i="20"/>
  <c r="T13" i="16"/>
  <c r="AP13" i="16"/>
  <c r="BE16" i="13"/>
  <c r="F20" i="20"/>
  <c r="AE20" i="20"/>
  <c r="L20" i="20"/>
  <c r="AP20" i="20"/>
  <c r="AF20" i="20"/>
  <c r="O20" i="20"/>
  <c r="Q20" i="20"/>
  <c r="AG20" i="20"/>
  <c r="O16" i="11"/>
  <c r="AQ20" i="21"/>
  <c r="G18" i="14"/>
  <c r="AB20" i="20"/>
  <c r="P20" i="20"/>
  <c r="W20" i="21"/>
  <c r="R20" i="20"/>
  <c r="O10" i="11"/>
  <c r="J20" i="20"/>
  <c r="M20" i="20"/>
  <c r="AH20" i="20"/>
  <c r="T20" i="21"/>
  <c r="I20" i="20"/>
  <c r="AJ20" i="20"/>
  <c r="W20" i="20"/>
  <c r="AO20" i="20"/>
  <c r="AU20" i="20"/>
  <c r="Y20" i="20"/>
  <c r="AV20" i="20"/>
  <c r="AQ20" i="20"/>
  <c r="Z20" i="20"/>
  <c r="AM20" i="20"/>
  <c r="AK20" i="20"/>
  <c r="E20" i="20"/>
  <c r="AW18" i="21" l="1"/>
  <c r="BM18" i="16"/>
  <c r="AV18" i="21"/>
  <c r="BD15" i="8"/>
  <c r="H15" i="7" s="1"/>
  <c r="I19" i="8"/>
  <c r="AC10" i="11"/>
  <c r="G10" i="3"/>
  <c r="H13" i="12"/>
  <c r="BA13" i="8"/>
  <c r="S19" i="8"/>
  <c r="C11" i="6"/>
  <c r="AN12" i="11"/>
  <c r="D10" i="6"/>
  <c r="BF15" i="8"/>
  <c r="BF11" i="8"/>
  <c r="J11" i="7" s="1"/>
  <c r="BF9" i="8"/>
  <c r="BG9" i="8"/>
  <c r="K9" i="7" s="1"/>
  <c r="BG12" i="8"/>
  <c r="E9" i="6"/>
  <c r="K9" i="12" s="1"/>
  <c r="AO17" i="11"/>
  <c r="AO15" i="11"/>
  <c r="AL16" i="11"/>
  <c r="AB13" i="21"/>
  <c r="AB21" i="21" s="1"/>
  <c r="BG16" i="13"/>
  <c r="BD16" i="13"/>
  <c r="BE15" i="13"/>
  <c r="F15" i="16"/>
  <c r="BL15" i="16" s="1"/>
  <c r="BE12" i="21"/>
  <c r="BE9" i="13"/>
  <c r="AL9" i="11"/>
  <c r="E11" i="6"/>
  <c r="R8" i="9"/>
  <c r="X10" i="17" s="1"/>
  <c r="X13" i="20"/>
  <c r="X16" i="20"/>
  <c r="X9" i="16"/>
  <c r="X19" i="16" s="1"/>
  <c r="R10" i="14"/>
  <c r="T9" i="11"/>
  <c r="AA17" i="16"/>
  <c r="V12" i="16"/>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M9" i="11"/>
  <c r="C18" i="2"/>
  <c r="D18" i="2" s="1"/>
  <c r="L16" i="14"/>
  <c r="I15" i="3"/>
  <c r="G12" i="3"/>
  <c r="K10" i="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AM15" i="11"/>
  <c r="I18" i="2"/>
  <c r="J18" i="2" s="1"/>
  <c r="G18" i="2"/>
  <c r="L17" i="14"/>
  <c r="L11" i="14"/>
  <c r="AN17" i="11"/>
  <c r="AL17" i="11"/>
  <c r="H11" i="2"/>
  <c r="H9" i="2"/>
  <c r="N13" i="2"/>
  <c r="AQ19" i="19"/>
  <c r="R19" i="19"/>
  <c r="AD19" i="19"/>
  <c r="AS13" i="21"/>
  <c r="AO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12" i="7"/>
  <c r="J12" i="7"/>
  <c r="E13" i="2"/>
  <c r="F13" i="2" s="1"/>
  <c r="F10" i="2"/>
  <c r="AN10" i="11"/>
  <c r="D16" i="6"/>
  <c r="E12" i="3"/>
  <c r="E16" i="3"/>
  <c r="AL10" i="11"/>
  <c r="H18" i="3"/>
  <c r="I18" i="3" s="1"/>
  <c r="AH19" i="8"/>
  <c r="H10" i="2"/>
  <c r="W13" i="17"/>
  <c r="X13" i="17" s="1"/>
  <c r="AG13" i="16"/>
  <c r="I17" i="3"/>
  <c r="E17" i="3"/>
  <c r="AI18" i="11"/>
  <c r="AG13" i="11"/>
  <c r="H18" i="12"/>
  <c r="I10" i="10"/>
  <c r="K10" i="10" s="1"/>
  <c r="D9" i="12"/>
  <c r="E12" i="12"/>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N20" i="20"/>
  <c r="AD20" i="20"/>
  <c r="G13" i="14"/>
  <c r="K20" i="20"/>
  <c r="U12" i="11"/>
  <c r="AN20" i="20"/>
  <c r="S20" i="20"/>
  <c r="AZ20" i="20"/>
  <c r="I15" i="12" l="1"/>
  <c r="K16" i="12"/>
  <c r="I11" i="12"/>
  <c r="J12" i="12"/>
  <c r="K15" i="12"/>
  <c r="AZ15" i="11"/>
  <c r="AZ18" i="11" s="1"/>
  <c r="S11" i="17"/>
  <c r="T15" i="11"/>
  <c r="R16" i="14"/>
  <c r="S10" i="14"/>
  <c r="V10" i="14" s="1"/>
  <c r="S10" i="17"/>
  <c r="U10" i="21"/>
  <c r="X12" i="21"/>
  <c r="AP16" i="20"/>
  <c r="BH9" i="16"/>
  <c r="V15" i="11"/>
  <c r="BJ17" i="11"/>
  <c r="BH15" i="11"/>
  <c r="BH15" i="16"/>
  <c r="Q17" i="20"/>
  <c r="Q18" i="20" s="1"/>
  <c r="V11" i="16"/>
  <c r="BF17" i="11"/>
  <c r="BF16" i="11"/>
  <c r="S17" i="16"/>
  <c r="BL12" i="11"/>
  <c r="V12" i="21"/>
  <c r="BK15" i="11"/>
  <c r="BK18" i="11" s="1"/>
  <c r="S9" i="17"/>
  <c r="V11" i="11"/>
  <c r="BI10" i="11"/>
  <c r="Q10" i="21"/>
  <c r="Q13" i="21" s="1"/>
  <c r="Q19" i="21" s="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S17" i="17"/>
  <c r="BH12" i="16"/>
  <c r="L10" i="2"/>
  <c r="L16" i="2"/>
  <c r="U9" i="17"/>
  <c r="U19" i="17" s="1"/>
  <c r="L9" i="2"/>
  <c r="AA9" i="16"/>
  <c r="T17" i="11"/>
  <c r="BH11" i="16"/>
  <c r="BH17" i="16"/>
  <c r="BM16" i="11"/>
  <c r="BL17" i="11"/>
  <c r="P17" i="11" s="1"/>
  <c r="BF10" i="11"/>
  <c r="BK11" i="11"/>
  <c r="AP10" i="21"/>
  <c r="BH9" i="11"/>
  <c r="BI15" i="11"/>
  <c r="X17" i="20"/>
  <c r="BG9" i="11"/>
  <c r="BH17" i="11"/>
  <c r="AP17" i="20"/>
  <c r="BW9" i="20"/>
  <c r="BV16" i="16"/>
  <c r="BV15" i="16"/>
  <c r="BV18" i="16" s="1"/>
  <c r="BU9" i="17"/>
  <c r="BU17" i="17"/>
  <c r="AA16" i="16"/>
  <c r="X15" i="17"/>
  <c r="X17" i="17"/>
  <c r="P15" i="17"/>
  <c r="P18" i="17" s="1"/>
  <c r="P19" i="17" s="1"/>
  <c r="BL15" i="11"/>
  <c r="R11" i="14"/>
  <c r="Q15" i="17"/>
  <c r="BF15" i="11"/>
  <c r="BF18" i="11" s="1"/>
  <c r="BM9" i="11"/>
  <c r="BK10" i="11"/>
  <c r="L15" i="2"/>
  <c r="X10" i="21"/>
  <c r="X19" i="21" s="1"/>
  <c r="AA11" i="16"/>
  <c r="V9" i="16"/>
  <c r="V10" i="21"/>
  <c r="AP13" i="20"/>
  <c r="AM12" i="11"/>
  <c r="AP18" i="20"/>
  <c r="AO16" i="17"/>
  <c r="AO10" i="17"/>
  <c r="AZ17" i="11"/>
  <c r="AZ9" i="11"/>
  <c r="V10" i="16"/>
  <c r="V15" i="16"/>
  <c r="X12" i="17"/>
  <c r="S15" i="14"/>
  <c r="V15" i="14" s="1"/>
  <c r="AO17" i="17"/>
  <c r="R12" i="14"/>
  <c r="R13" i="14" s="1"/>
  <c r="S17" i="14"/>
  <c r="V17" i="14" s="1"/>
  <c r="V15" i="20"/>
  <c r="V18" i="20" s="1"/>
  <c r="L11" i="2"/>
  <c r="V17" i="16"/>
  <c r="AA12" i="21"/>
  <c r="T17" i="20"/>
  <c r="AA15" i="16"/>
  <c r="X16" i="17"/>
  <c r="R17" i="14"/>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P15" i="11"/>
  <c r="K12" i="12"/>
  <c r="AJ18" i="11"/>
  <c r="D18" i="5"/>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I18" i="16"/>
  <c r="D19" i="12"/>
  <c r="BF13" i="8"/>
  <c r="AY19" i="8"/>
  <c r="BW21" i="20"/>
  <c r="P9" i="11"/>
  <c r="Q10" i="11"/>
  <c r="D11" i="6"/>
  <c r="J11" i="12" s="1"/>
  <c r="E11" i="3"/>
  <c r="Q12" i="11"/>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BH13" i="11" l="1"/>
  <c r="V19" i="20"/>
  <c r="BV13" i="16"/>
  <c r="BU21" i="17"/>
  <c r="Q16" i="11"/>
  <c r="AZ13" i="11"/>
  <c r="AZ19" i="11"/>
  <c r="S18" i="16"/>
  <c r="S19" i="16" s="1"/>
  <c r="R13" i="21"/>
  <c r="R19" i="21" s="1"/>
  <c r="R19" i="20"/>
  <c r="Q18" i="17"/>
  <c r="Q19" i="17" s="1"/>
  <c r="BK13" i="11"/>
  <c r="BK19" i="1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<sst xmlns="http://schemas.openxmlformats.org/spreadsheetml/2006/main" count="2094" uniqueCount="912">
  <si>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</si>
  <si>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</si>
  <si>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</si>
  <si>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</si>
  <si>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</si>
  <si>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</si>
  <si>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</si>
  <si>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</si>
  <si>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</si>
  <si>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</si>
  <si>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</si>
  <si>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</si>
  <si>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</si>
  <si>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</si>
  <si>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</si>
  <si>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</si>
  <si>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</si>
  <si>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</si>
  <si>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</si>
  <si>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</si>
  <si>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</si>
  <si>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</si>
  <si>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</si>
  <si>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</si>
  <si>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</si>
  <si>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</si>
  <si>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</si>
  <si>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</si>
  <si>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</si>
  <si>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</si>
  <si>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</si>
  <si>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</si>
  <si>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</si>
  <si>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</si>
  <si>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</si>
  <si>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</si>
  <si>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</si>
  <si>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</si>
  <si>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</si>
  <si>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</si>
  <si>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</si>
  <si>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</si>
  <si>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</si>
  <si>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</si>
  <si>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</si>
  <si>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</si>
  <si>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</si>
  <si>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</si>
  <si>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</si>
  <si>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</si>
  <si>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</si>
  <si>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</si>
  <si>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</si>
  <si>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</si>
  <si>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</si>
  <si>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</si>
  <si>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</si>
  <si>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</si>
  <si>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</si>
  <si>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</si>
  <si>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</si>
  <si>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</si>
  <si>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</si>
  <si>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</si>
  <si>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</si>
  <si>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</si>
  <si>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</si>
  <si>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</si>
  <si>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</si>
  <si>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</si>
  <si>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</si>
  <si>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</si>
  <si>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</si>
  <si>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</si>
  <si>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</si>
  <si>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</si>
  <si>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</si>
  <si>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</si>
  <si>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</si>
  <si>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</si>
  <si>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</si>
  <si>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</si>
  <si>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</si>
  <si>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</si>
  <si>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</si>
  <si>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</si>
  <si>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</si>
  <si>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</si>
  <si>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</si>
  <si>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</si>
  <si>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</si>
  <si>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</si>
  <si>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</si>
  <si>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</si>
  <si>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</si>
  <si>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</si>
  <si>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</si>
  <si>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</si>
  <si>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</si>
  <si>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</si>
  <si>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</si>
  <si>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</si>
  <si>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</si>
  <si>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</si>
  <si>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</si>
  <si>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</si>
  <si>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</si>
  <si>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</si>
  <si>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</si>
  <si>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</si>
  <si>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</si>
  <si>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</si>
  <si>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</si>
  <si>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</si>
  <si>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</si>
  <si>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</si>
  <si>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</si>
  <si>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</si>
  <si>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</si>
  <si>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</si>
  <si>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</si>
  <si>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</si>
  <si>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</si>
  <si>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</si>
  <si>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</si>
  <si>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</si>
  <si>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</si>
  <si>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</si>
  <si>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</si>
  <si>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</si>
  <si>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</si>
  <si>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</si>
  <si>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</si>
  <si>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</si>
  <si>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</si>
  <si>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</si>
  <si>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</si>
  <si>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</si>
  <si>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</si>
  <si>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</si>
  <si>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</si>
  <si>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</si>
  <si>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</si>
  <si>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</si>
  <si>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</si>
  <si>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</si>
  <si>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</si>
  <si>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</si>
  <si>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</si>
  <si>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</si>
  <si>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</si>
  <si>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</si>
  <si>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</si>
  <si>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</si>
  <si>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</si>
  <si>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</si>
  <si>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</si>
  <si>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</si>
  <si>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</si>
  <si>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</si>
  <si>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</si>
  <si>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</si>
  <si>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</si>
  <si>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</si>
  <si>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</si>
  <si>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</si>
  <si>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</si>
  <si>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</si>
  <si>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</si>
  <si>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</si>
  <si>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</si>
  <si>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</si>
  <si>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</si>
  <si>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</si>
  <si>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</si>
  <si>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</si>
  <si>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</si>
  <si>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</si>
  <si>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</si>
  <si>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</si>
  <si>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</si>
  <si>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</si>
  <si>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</si>
  <si>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</si>
  <si>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</si>
  <si>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</si>
  <si>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</si>
  <si>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</si>
  <si>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</si>
  <si>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</si>
  <si>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</si>
  <si>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</si>
  <si>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</si>
  <si>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</si>
  <si>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</si>
  <si>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</si>
  <si>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</si>
  <si>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</si>
  <si>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</si>
  <si>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</si>
  <si>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</si>
  <si>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</si>
  <si>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</si>
  <si>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</si>
  <si>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</si>
  <si>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</si>
  <si>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</si>
  <si>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</si>
  <si>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</si>
  <si>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</si>
  <si>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</si>
  <si>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</si>
  <si>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</si>
  <si>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</si>
  <si>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</si>
  <si>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</si>
  <si>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</si>
  <si>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</si>
  <si>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</si>
  <si>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</si>
  <si>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</si>
  <si>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</si>
  <si>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</si>
  <si>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</si>
  <si>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</si>
  <si>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</si>
  <si>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</si>
  <si>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</si>
  <si>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</si>
  <si>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</si>
  <si>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</si>
  <si>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</si>
  <si>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</si>
  <si>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</si>
  <si>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</si>
  <si>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</si>
  <si>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</si>
  <si>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</si>
  <si>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</si>
  <si>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</si>
  <si>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</si>
  <si>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</si>
  <si>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</si>
  <si>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</si>
  <si>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</si>
  <si>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</si>
  <si>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</si>
  <si>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</si>
  <si>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</si>
  <si>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</si>
  <si>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</si>
  <si>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</si>
  <si>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</si>
  <si>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</si>
  <si>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</si>
  <si>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</si>
  <si>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</si>
  <si>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</si>
  <si>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</si>
  <si>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</si>
  <si>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</si>
  <si>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</si>
  <si>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</si>
  <si>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</si>
  <si>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</si>
  <si>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</si>
  <si>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</si>
  <si>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</si>
  <si>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</si>
  <si>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</si>
  <si>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</si>
  <si>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</si>
  <si>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</si>
  <si>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</si>
  <si>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</si>
  <si>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</si>
  <si>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</si>
  <si>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</si>
  <si>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</si>
  <si>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</si>
  <si>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</si>
  <si>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</si>
  <si>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</si>
  <si>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</si>
  <si>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</si>
  <si>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</si>
  <si>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</si>
  <si>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</si>
  <si>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</si>
  <si>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</si>
  <si>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</si>
  <si>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</si>
  <si>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</si>
  <si>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</si>
  <si>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</si>
  <si>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</si>
  <si>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</si>
  <si>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</si>
  <si>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</si>
  <si>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</si>
  <si>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</si>
  <si>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</si>
  <si>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</si>
  <si>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</si>
  <si>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</si>
  <si>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</si>
  <si>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</si>
  <si>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</si>
  <si>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</si>
  <si>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</si>
  <si>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</si>
  <si>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</si>
  <si>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</si>
  <si>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</si>
  <si>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</si>
  <si>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</si>
  <si>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</si>
  <si>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</si>
  <si>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</si>
  <si>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</si>
  <si>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</si>
  <si>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</si>
  <si>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</si>
  <si>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</si>
  <si>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</si>
  <si>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</si>
  <si>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</si>
  <si>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</si>
  <si>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</si>
  <si>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</si>
  <si>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</si>
  <si>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</si>
  <si>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</si>
  <si>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</si>
  <si>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</si>
  <si>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</si>
  <si>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</si>
  <si>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</si>
  <si>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</si>
  <si>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</si>
  <si>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</si>
  <si>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</si>
  <si>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</si>
  <si>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</si>
  <si>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</si>
  <si>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</si>
  <si>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</si>
  <si>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</si>
  <si>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</si>
  <si>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</si>
  <si>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</si>
  <si>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</si>
  <si>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</si>
  <si>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</si>
  <si>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</si>
  <si>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</si>
  <si>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</si>
  <si>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</si>
  <si>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</si>
  <si>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</si>
  <si>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</si>
  <si>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</si>
  <si>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</si>
  <si>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</si>
  <si>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</si>
  <si>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</si>
  <si>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</si>
  <si>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</si>
  <si>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</si>
  <si>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</si>
  <si>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</si>
  <si>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</si>
  <si>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</si>
  <si>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</si>
  <si>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</si>
  <si>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</si>
  <si>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</si>
  <si>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</si>
  <si>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</si>
  <si>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</si>
  <si>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</si>
  <si>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</si>
  <si>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</si>
  <si>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</si>
  <si>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</si>
  <si>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</si>
  <si>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</si>
  <si>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</si>
  <si>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</si>
  <si>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</si>
  <si>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</si>
  <si>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</si>
  <si>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</si>
  <si>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</si>
  <si>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</si>
  <si>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</si>
  <si>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</si>
  <si>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</si>
  <si>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</si>
  <si>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</si>
  <si>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</si>
  <si>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</si>
  <si>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</si>
  <si>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</si>
  <si>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</si>
  <si>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</si>
  <si>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</si>
  <si>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</si>
  <si>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</si>
  <si>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</si>
  <si>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</si>
  <si>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</si>
  <si>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</si>
  <si>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</si>
  <si>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</si>
  <si>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</si>
  <si>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</si>
  <si>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</si>
  <si>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</si>
  <si>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</si>
  <si>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</si>
  <si>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</si>
  <si>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</si>
  <si>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</si>
  <si>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</si>
  <si>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</si>
  <si>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</si>
  <si>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</si>
  <si>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</si>
  <si>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</si>
  <si>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</si>
  <si>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</si>
  <si>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</si>
  <si>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</si>
  <si>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</si>
  <si>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</si>
  <si>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</si>
  <si>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</si>
  <si>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</si>
  <si>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</si>
  <si>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</si>
  <si>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</si>
  <si>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</si>
  <si>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</si>
  <si>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</si>
  <si>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</si>
  <si>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</si>
  <si>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</si>
  <si>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</si>
  <si>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</si>
  <si>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</si>
  <si>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</si>
  <si>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</si>
  <si>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</si>
  <si>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</si>
  <si>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</si>
  <si>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</si>
  <si>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</si>
  <si>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</si>
  <si>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</si>
  <si>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</si>
  <si>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</si>
  <si>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</si>
  <si>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</si>
  <si>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</si>
  <si>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</si>
  <si>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</si>
  <si>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</si>
  <si>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</si>
  <si>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</si>
  <si>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</si>
  <si>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</si>
  <si>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</si>
  <si>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</si>
  <si>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</si>
  <si>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</si>
  <si>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</si>
  <si>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</si>
  <si>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</si>
  <si>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</si>
  <si>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</si>
  <si>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</si>
  <si>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</si>
  <si>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</si>
  <si>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</si>
  <si>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</si>
  <si>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</si>
  <si>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</si>
  <si>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</si>
  <si>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</si>
  <si>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</si>
  <si>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</si>
  <si>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</si>
  <si>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</si>
  <si>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</si>
  <si>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</si>
  <si>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</si>
  <si>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</si>
  <si>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</si>
  <si>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</si>
  <si>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</si>
  <si>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</si>
  <si>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</si>
  <si>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</si>
  <si>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</si>
  <si>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</si>
  <si>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</si>
  <si>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</si>
  <si>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</si>
  <si>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</si>
  <si>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</si>
  <si>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</si>
  <si>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</si>
  <si>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</si>
  <si>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</si>
  <si>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</si>
  <si>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</si>
  <si>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</si>
  <si>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</si>
  <si>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</si>
  <si>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</si>
  <si>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</si>
  <si>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</si>
  <si>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</si>
  <si>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</si>
  <si>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</si>
  <si>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</si>
  <si>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</si>
  <si>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</si>
  <si>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</si>
  <si>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</si>
  <si>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</si>
  <si>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</si>
  <si>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</si>
  <si>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</si>
  <si>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</si>
  <si>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</si>
  <si>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</si>
  <si>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</si>
  <si>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</si>
  <si>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</si>
  <si>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</si>
  <si>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</si>
  <si>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</si>
  <si>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</si>
  <si>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</si>
  <si>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</si>
  <si>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</si>
  <si>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</si>
  <si>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</si>
  <si>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</si>
  <si>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</si>
  <si>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</si>
  <si>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</si>
  <si>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</si>
  <si>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</si>
  <si>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</si>
  <si>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</si>
  <si>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</si>
  <si>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</si>
  <si>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</si>
  <si>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</si>
  <si>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</si>
  <si>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</si>
  <si>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</si>
  <si>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</si>
  <si>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</si>
  <si>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</si>
  <si>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</si>
  <si>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</si>
  <si>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</si>
  <si>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</si>
  <si>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</si>
  <si>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</si>
  <si>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</si>
  <si>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</si>
  <si>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</si>
  <si>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</si>
  <si>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</si>
  <si>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</si>
  <si>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</si>
  <si>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</si>
  <si>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</si>
  <si>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</si>
  <si>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</si>
  <si>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</si>
  <si>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</si>
  <si>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</si>
  <si>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</si>
  <si>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</si>
  <si>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</si>
  <si>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</si>
  <si>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</si>
  <si>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</si>
  <si>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</si>
  <si>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</si>
  <si>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</si>
  <si>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</si>
  <si>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</si>
  <si>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</si>
  <si>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</si>
  <si>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</si>
  <si>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</si>
  <si>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</si>
  <si>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</si>
  <si>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</si>
  <si>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</si>
  <si>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</si>
  <si>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</si>
  <si>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</si>
  <si>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</si>
  <si>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</si>
  <si>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</si>
  <si>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</si>
  <si>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</si>
  <si>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</si>
  <si>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</si>
  <si>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</si>
  <si>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</si>
  <si>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</si>
  <si>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</si>
  <si>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</si>
  <si>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</si>
  <si>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</si>
  <si>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</si>
  <si>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</si>
  <si>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</si>
  <si>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</si>
  <si>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</si>
  <si>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</si>
  <si>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</si>
  <si>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</si>
  <si>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</si>
  <si>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</si>
  <si>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</si>
  <si>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</si>
  <si>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</si>
  <si>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</si>
  <si>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</si>
  <si>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</si>
  <si>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</si>
  <si>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</si>
  <si>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</si>
  <si>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</si>
  <si>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</si>
  <si>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</si>
  <si>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</si>
  <si>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</si>
  <si>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</si>
  <si>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</si>
  <si>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</si>
  <si>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</si>
  <si>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</si>
  <si>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</si>
  <si>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</si>
  <si>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</si>
  <si>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</si>
  <si>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</si>
  <si>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</si>
  <si>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</si>
  <si>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</si>
  <si>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</si>
  <si>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</si>
  <si>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</si>
  <si>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</si>
  <si>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</si>
  <si>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</si>
  <si>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</si>
  <si>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</si>
  <si>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</si>
  <si>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</si>
  <si>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</si>
  <si>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</si>
  <si>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</si>
  <si>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</si>
  <si>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</si>
  <si>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</si>
  <si>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</si>
  <si>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</si>
  <si>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</si>
  <si>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</si>
  <si>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</si>
  <si>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</si>
  <si>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</si>
  <si>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</si>
  <si>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</si>
  <si>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</si>
  <si>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</si>
  <si>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</si>
  <si>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</si>
  <si>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</si>
  <si>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</si>
  <si>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</si>
  <si>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</si>
  <si>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</si>
  <si>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</si>
  <si>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</si>
  <si>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</si>
  <si>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</si>
  <si>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</si>
  <si>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</si>
  <si>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</si>
  <si>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</si>
  <si>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</si>
  <si>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</si>
  <si>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</si>
  <si>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</si>
  <si>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</si>
  <si>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</si>
  <si>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</si>
  <si>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</si>
  <si>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</si>
  <si>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</si>
  <si>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</si>
  <si>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</si>
  <si>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</si>
  <si>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</si>
  <si>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</si>
  <si>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</si>
  <si>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</si>
  <si>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</si>
  <si>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</si>
  <si>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</si>
  <si>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</si>
  <si>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</si>
  <si>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</si>
  <si>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</si>
  <si>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</si>
  <si>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</si>
  <si>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</si>
  <si>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</si>
  <si>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</si>
  <si>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</si>
  <si>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</si>
  <si>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</si>
  <si>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</si>
  <si>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</si>
  <si>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</si>
  <si>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</si>
  <si>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</si>
  <si>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</si>
  <si>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</si>
  <si>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</si>
  <si>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</si>
  <si>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</si>
  <si>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</si>
  <si>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</si>
  <si>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</si>
  <si>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</si>
  <si>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</si>
  <si>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</si>
  <si>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</si>
  <si>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</si>
  <si>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</si>
  <si>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</si>
  <si>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</si>
  <si>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</si>
  <si>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</si>
  <si>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</si>
  <si>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</si>
  <si>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</si>
  <si>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</si>
  <si>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</si>
  <si>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</si>
  <si>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</si>
  <si>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</si>
  <si>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</si>
  <si>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</si>
  <si>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</si>
  <si>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</si>
  <si>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</si>
  <si>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</si>
  <si>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</si>
  <si>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</si>
  <si>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</si>
  <si>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</si>
  <si>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</si>
  <si>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</si>
  <si>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</si>
  <si>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</si>
  <si>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</si>
  <si>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</si>
  <si>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</si>
  <si>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</si>
  <si>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</si>
  <si>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</si>
  <si>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</si>
  <si>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</si>
  <si>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</si>
  <si>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</si>
  <si>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</si>
  <si>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</si>
  <si>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</si>
  <si>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</si>
  <si>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</si>
  <si>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</si>
  <si>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</si>
  <si>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</si>
  <si>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</si>
  <si>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</si>
  <si>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</si>
  <si>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</si>
  <si>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</si>
  <si>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</si>
  <si>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</si>
  <si>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</si>
  <si>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</si>
  <si>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</si>
  <si>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</si>
  <si>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</si>
  <si>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</si>
  <si>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</si>
  <si>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</si>
  <si>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</si>
  <si>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</si>
  <si>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</si>
  <si>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</si>
  <si>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</si>
  <si>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</si>
  <si>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</si>
  <si>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</si>
  <si>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</si>
  <si>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</si>
  <si>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</si>
  <si>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</si>
  <si>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</si>
  <si>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</si>
  <si>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</si>
  <si>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</si>
  <si>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</si>
  <si>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</si>
  <si>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</si>
  <si>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</si>
  <si>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</si>
  <si>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</si>
  <si>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</si>
  <si>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</si>
  <si>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</si>
  <si>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</si>
  <si>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</si>
  <si>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</si>
  <si>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</si>
  <si>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</si>
  <si>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</si>
  <si>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</si>
  <si>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</si>
  <si>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</si>
  <si>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</si>
  <si>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</si>
  <si>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</si>
  <si>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</si>
  <si>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</si>
  <si>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</si>
  <si>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</si>
  <si>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</si>
  <si>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</si>
  <si>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</si>
  <si>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</si>
  <si>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</si>
  <si>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</si>
  <si>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</si>
  <si>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</si>
  <si>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</si>
  <si>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</si>
  <si>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</si>
  <si>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</si>
  <si>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</si>
  <si>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</si>
  <si>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</si>
  <si>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</si>
  <si>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</si>
  <si>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</si>
  <si>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</si>
  <si>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</si>
  <si>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</si>
  <si>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</si>
  <si>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</si>
  <si>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</si>
  <si>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</si>
  <si>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</si>
  <si>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</si>
  <si>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</si>
  <si>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</si>
  <si>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</si>
  <si>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</si>
  <si>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</si>
  <si>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</si>
  <si>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</si>
  <si>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</si>
  <si>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</si>
  <si>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</si>
  <si>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</si>
  <si>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</si>
  <si>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</si>
  <si>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</si>
  <si>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</si>
  <si>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</si>
  <si>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</si>
  <si>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</si>
  <si>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</si>
  <si>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</si>
  <si>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</si>
  <si>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</si>
  <si>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</si>
  <si>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</si>
  <si>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</si>
  <si>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</si>
  <si>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</si>
  <si>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</si>
  <si>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</si>
  <si>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CACERES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</si>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</sst>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qqLXcF8YacRFHynkxjuCadGddY2gdLcHtDjjQCAEs9SRSLTqCkFCVj/s0C6//M+7k3LYDD7wApv+Go6ChM8gQ==" saltValue="c1x53lhnT6gud/7e3xdw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23.238359972202918</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80</v>
      </c>
      <c r="D10" s="229">
        <f>IF(ISNUMBER(Datos!I10),Datos!I10," - ")</f>
        <v>80</v>
      </c>
      <c r="E10" s="230">
        <f>IF(ISNUMBER(Datos!J10),Datos!J10," - ")</f>
        <v>41</v>
      </c>
      <c r="F10" s="230">
        <f>IF(ISNUMBER(Datos!K10),Datos!K10," - ")</f>
        <v>15</v>
      </c>
      <c r="G10" s="1189" t="str">
        <f>IF(Datos!E10&lt;&gt;"",Datos!E10,Datos!D10)</f>
        <v>37</v>
      </c>
      <c r="H10" s="231">
        <f>IF(ISNUMBER(Datos!L10),Datos!L10," - ")</f>
        <v>106</v>
      </c>
      <c r="I10" s="1199" t="str">
        <f>IF(ISNUMBER(Datos!AS10/Datos!BM10),Datos!AS10/Datos!BM10," - ")</f>
        <v xml:space="preserve"> - </v>
      </c>
      <c r="J10" s="1200">
        <f>IF(ISNUMBER(Datos!BY10/Datos!CN10),Datos!BY10/Datos!CN10," - ")</f>
        <v>0</v>
      </c>
      <c r="K10" s="234">
        <f t="shared" ref="K10:K12" si="1">IF(ISNUMBER((E10-F10)/C10),(E10-F10)/C10," - ")</f>
        <v>0.32500000000000001</v>
      </c>
      <c r="L10" s="1201">
        <f>IF(ISNUMBER(NºAsuntos!I10/NºAsuntos!G10),(NºAsuntos!I10/NºAsuntos!G10)*11," - ")</f>
        <v>77.733333333333334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80</v>
      </c>
      <c r="D13" s="1206">
        <f>SUBTOTAL(9,D9:D12)</f>
        <v>80</v>
      </c>
      <c r="E13" s="1207">
        <f>SUBTOTAL(9,E9:E12)</f>
        <v>41</v>
      </c>
      <c r="F13" s="1208">
        <f>SUBTOTAL(9,F9:F12)</f>
        <v>15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1138</v>
      </c>
      <c r="D15" s="229">
        <f>IF(ISNUMBER(IF(D_I="SI",Datos!I15,Datos!I15+Datos!AC15)),IF(D_I="SI",Datos!I15,Datos!I15+Datos!AC15)," - ")</f>
        <v>1304</v>
      </c>
      <c r="E15" s="230">
        <f>IF(ISNUMBER(IF(D_I="SI",Datos!J15,Datos!J15+Datos!AD15)),IF(D_I="SI",Datos!J15,Datos!J15+Datos!AD15)," - ")</f>
        <v>1184</v>
      </c>
      <c r="F15" s="230">
        <f>IF(ISNUMBER(IF(D_I="SI",Datos!K15,Datos!K15+Datos!AE15)),IF(D_I="SI",Datos!K15,Datos!K15+Datos!AE15)," - ")</f>
        <v>818</v>
      </c>
      <c r="G15" s="1189" t="str">
        <f>IF(Datos!E15&lt;&gt;"",Datos!E15,Datos!D15)</f>
        <v>03</v>
      </c>
      <c r="H15" s="231">
        <f>IF(ISNUMBER(IF(D_I="SI",Datos!L15,Datos!L15+Datos!AF15)),IF(D_I="SI",Datos!L15,Datos!L15+Datos!AF15)," - ")</f>
        <v>1504</v>
      </c>
      <c r="I15" s="1199" t="str">
        <f>IF(ISNUMBER(Datos!AS15/Datos!BM15),Datos!AS15/Datos!BM15," - ")</f>
        <v xml:space="preserve"> - </v>
      </c>
      <c r="J15" s="1200">
        <f>IF(ISNUMBER(Datos!BY15/Datos!CN15),Datos!BY15/Datos!CN15," - ")</f>
        <v>0</v>
      </c>
      <c r="K15" s="234">
        <f t="shared" ref="K15:K17" si="3">IF(ISNUMBER((E15-F15)/C15),(E15-F15)/C15," - ")</f>
        <v>0.32161687170474518</v>
      </c>
      <c r="L15" s="1201">
        <f>IF(ISNUMBER(NºAsuntos!I15/NºAsuntos!G15),(NºAsuntos!I15/NºAsuntos!G15)*11," - ")</f>
        <v>20.224938875305625</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136</v>
      </c>
      <c r="D17" s="229">
        <f>IF(ISNUMBER(IF(D_I="SI",Datos!I17,Datos!I17+Datos!AC17)),IF(D_I="SI",Datos!I17,Datos!I17+Datos!AC17)," - ")</f>
        <v>136</v>
      </c>
      <c r="E17" s="230">
        <f>IF(ISNUMBER(IF(D_I="SI",Datos!J17,Datos!J17+Datos!AD17)),IF(D_I="SI",Datos!J17,Datos!J17+Datos!AD17)," - ")</f>
        <v>514</v>
      </c>
      <c r="F17" s="230">
        <f>IF(ISNUMBER(IF(D_I="SI",Datos!K17,Datos!K17+Datos!AE17)),IF(D_I="SI",Datos!K17,Datos!K17+Datos!AE17)," - ")</f>
        <v>440</v>
      </c>
      <c r="G17" s="1189" t="str">
        <f>IF(Datos!E17&lt;&gt;"",Datos!E17,Datos!D17)</f>
        <v>37</v>
      </c>
      <c r="H17" s="231">
        <f>IF(ISNUMBER(IF(D_I="SI",Datos!L17,Datos!L17+Datos!AF17)),IF(D_I="SI",Datos!L17,Datos!L17+Datos!AF17)," - ")</f>
        <v>210</v>
      </c>
      <c r="I17" s="1199" t="str">
        <f>IF(ISNUMBER(Datos!AS17/Datos!BM17),Datos!AS17/Datos!BM17," - ")</f>
        <v xml:space="preserve"> - </v>
      </c>
      <c r="J17" s="1200" t="str">
        <f>IF(ISNUMBER((Datos!BY17+Datos!BZ17)/Datos!CN17),(Datos!BY17+Datos!BZ17)/Datos!CN17," - ")</f>
        <v xml:space="preserve"> - </v>
      </c>
      <c r="K17" s="234">
        <f t="shared" si="3"/>
        <v>0.54411764705882348</v>
      </c>
      <c r="L17" s="1201">
        <f>IF(ISNUMBER(NºAsuntos!I17/NºAsuntos!G17),(NºAsuntos!I17/NºAsuntos!G17)*11," - ")</f>
        <v>5.25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1274</v>
      </c>
      <c r="D18" s="1206">
        <f>SUBTOTAL(9,D15:D17)</f>
        <v>1440</v>
      </c>
      <c r="E18" s="1207">
        <f>SUBTOTAL(9,E15:E17)</f>
        <v>1698</v>
      </c>
      <c r="F18" s="1207">
        <f>SUBTOTAL(9,F15:F17)</f>
        <v>1258</v>
      </c>
      <c r="G18" s="1209" t="str">
        <f ca="1">INDIRECT(CONCATENATE("G",ROW()-1))</f>
        <v>37</v>
      </c>
      <c r="H18" s="1210">
        <f ca="1">SUMIF(G$14:G17,G18,H$14:H17)</f>
        <v>210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1354</v>
      </c>
      <c r="D19" s="1228">
        <f>SUBTOTAL(9,D9:D18)</f>
        <v>1520</v>
      </c>
      <c r="E19" s="1229">
        <f>SUBTOTAL(9,E9:E18)</f>
        <v>1739</v>
      </c>
      <c r="F19" s="1229">
        <f>SUBTOTAL(9,F9:F18)</f>
        <v>1273</v>
      </c>
      <c r="G19" s="1230"/>
      <c r="H19" s="1231">
        <f ca="1">SUMIF(B9:B18,"TOTAL",H9:H18)</f>
        <v>210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EUsBa5C2+I4uCC4/Xmovfi2yipfWshsb2jmfBobzAJ0oXqpuVKbJQkrNRTym3wUdEa+cE7hJ2DTywDnSxWNYCg==" saltValue="3rSc6RyVg9IU17MV9Bowa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gMJRAwJIau2WqQXmOaoU4nFFWZUEY1+KUCIoKZd4R0G3wFRmQOn9LSbPhwywYcVpUa5xQmmrSwz2n22wc2Zjw==" saltValue="5MjOsfIklre6JEXxKbKe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2817</v>
      </c>
      <c r="J9" s="185">
        <v>1303</v>
      </c>
      <c r="K9" s="185">
        <v>1316</v>
      </c>
      <c r="L9" s="185">
        <v>2804</v>
      </c>
      <c r="M9" s="185">
        <v>340</v>
      </c>
      <c r="N9" s="185">
        <v>492</v>
      </c>
      <c r="O9" s="185">
        <v>557</v>
      </c>
      <c r="P9" s="185">
        <v>308</v>
      </c>
      <c r="Q9" s="185">
        <v>98</v>
      </c>
      <c r="R9" s="185">
        <v>3441</v>
      </c>
      <c r="S9" s="185">
        <v>0</v>
      </c>
      <c r="T9" s="185">
        <v>0</v>
      </c>
      <c r="U9" s="185">
        <v>0</v>
      </c>
      <c r="V9" s="185">
        <v>0</v>
      </c>
      <c r="W9" s="185">
        <v>0</v>
      </c>
      <c r="X9" s="192">
        <v>0</v>
      </c>
      <c r="Y9" s="195">
        <v>188</v>
      </c>
      <c r="Z9" s="185">
        <v>171</v>
      </c>
      <c r="AA9" s="185">
        <v>123</v>
      </c>
      <c r="AB9" s="185">
        <v>236</v>
      </c>
      <c r="AC9" s="185">
        <v>0</v>
      </c>
      <c r="AD9" s="185">
        <v>0</v>
      </c>
      <c r="AE9" s="185">
        <v>0</v>
      </c>
      <c r="AF9" s="192">
        <v>0</v>
      </c>
      <c r="AG9" s="195">
        <v>0</v>
      </c>
      <c r="AH9" s="185">
        <v>0</v>
      </c>
      <c r="AI9" s="185">
        <v>0</v>
      </c>
      <c r="AJ9" s="196">
        <v>0</v>
      </c>
      <c r="AK9" s="184">
        <v>0</v>
      </c>
      <c r="AL9" s="185">
        <v>0</v>
      </c>
      <c r="AM9" s="185">
        <v>0</v>
      </c>
      <c r="AN9" s="192">
        <v>0</v>
      </c>
      <c r="AO9" s="262">
        <v>5</v>
      </c>
      <c r="AP9" s="158">
        <v>5</v>
      </c>
      <c r="AQ9" s="158">
        <v>5</v>
      </c>
      <c r="AR9" s="197">
        <v>5</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f>IF(ISNUMBER(X9),X9," - ")</f>
        <v>0</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80</v>
      </c>
      <c r="J10" s="185">
        <v>41</v>
      </c>
      <c r="K10" s="185">
        <v>15</v>
      </c>
      <c r="L10" s="185">
        <v>106</v>
      </c>
      <c r="M10" s="185">
        <v>5</v>
      </c>
      <c r="N10" s="185">
        <v>0</v>
      </c>
      <c r="O10" s="185">
        <v>3</v>
      </c>
      <c r="P10" s="185">
        <v>1</v>
      </c>
      <c r="Q10" s="185">
        <v>0</v>
      </c>
      <c r="R10" s="185">
        <v>16</v>
      </c>
      <c r="S10" s="185">
        <v>34</v>
      </c>
      <c r="T10" s="185">
        <v>30</v>
      </c>
      <c r="U10" s="185">
        <v>14</v>
      </c>
      <c r="V10" s="185">
        <v>50</v>
      </c>
      <c r="W10" s="185">
        <v>3</v>
      </c>
      <c r="X10" s="192">
        <v>8</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34</v>
      </c>
      <c r="AZ10" s="130">
        <f t="shared" si="0"/>
        <v>30</v>
      </c>
      <c r="BA10" s="130">
        <f t="shared" si="0"/>
        <v>14</v>
      </c>
      <c r="BB10" s="130">
        <f t="shared" si="0"/>
        <v>50</v>
      </c>
      <c r="BC10" s="126">
        <f t="shared" si="0"/>
        <v>3</v>
      </c>
      <c r="BD10" s="127">
        <f>IF(ISNUMBER(BA10/AZ10),BA10/AZ10," - ")</f>
        <v>0.46666666666666667</v>
      </c>
      <c r="BE10" s="128">
        <f>IF(ISNUMBER(BB10/BA10),BB10/BA10, " - ")</f>
        <v>3.5714285714285716</v>
      </c>
      <c r="BF10" s="128">
        <f>IF(ISNUMBER(BC10/BA10),BC10/BA10, " - ")</f>
        <v>0.21428571428571427</v>
      </c>
      <c r="BG10" s="200">
        <f>IF(ISNUMBER((AY10+AZ10)/BA10),(AY10+AZ10)/BA10," - ")</f>
        <v>4.5714285714285712</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2897</v>
      </c>
      <c r="J13" s="188">
        <f t="shared" si="6"/>
        <v>1344</v>
      </c>
      <c r="K13" s="188">
        <f t="shared" si="6"/>
        <v>1331</v>
      </c>
      <c r="L13" s="188">
        <f t="shared" si="6"/>
        <v>2910</v>
      </c>
      <c r="M13" s="188">
        <f t="shared" si="6"/>
        <v>345</v>
      </c>
      <c r="N13" s="188">
        <f t="shared" si="6"/>
        <v>492</v>
      </c>
      <c r="O13" s="188">
        <f t="shared" si="6"/>
        <v>560</v>
      </c>
      <c r="P13" s="188">
        <f t="shared" si="6"/>
        <v>309</v>
      </c>
      <c r="Q13" s="188">
        <f t="shared" si="6"/>
        <v>98</v>
      </c>
      <c r="R13" s="188">
        <f t="shared" si="6"/>
        <v>3457</v>
      </c>
      <c r="S13" s="188">
        <f t="shared" si="6"/>
        <v>34</v>
      </c>
      <c r="T13" s="188">
        <f t="shared" si="6"/>
        <v>30</v>
      </c>
      <c r="U13" s="188">
        <f t="shared" si="6"/>
        <v>14</v>
      </c>
      <c r="V13" s="188">
        <f t="shared" si="6"/>
        <v>50</v>
      </c>
      <c r="W13" s="188">
        <f t="shared" si="6"/>
        <v>3</v>
      </c>
      <c r="X13" s="188">
        <f t="shared" si="6"/>
        <v>8</v>
      </c>
      <c r="Y13" s="188">
        <f t="shared" si="6"/>
        <v>188</v>
      </c>
      <c r="Z13" s="188">
        <f t="shared" si="6"/>
        <v>171</v>
      </c>
      <c r="AA13" s="188">
        <f t="shared" si="6"/>
        <v>123</v>
      </c>
      <c r="AB13" s="188">
        <f t="shared" si="6"/>
        <v>236</v>
      </c>
      <c r="AC13" s="188">
        <f t="shared" si="6"/>
        <v>0</v>
      </c>
      <c r="AD13" s="188">
        <f t="shared" si="6"/>
        <v>0</v>
      </c>
      <c r="AE13" s="188">
        <f t="shared" si="6"/>
        <v>0</v>
      </c>
      <c r="AF13" s="188">
        <f>SUBTOTAL(9,AF9:AF12)</f>
        <v>0</v>
      </c>
      <c r="AG13" s="188">
        <f t="shared" ref="AG13:AT13" si="7">SUBTOTAL(9,AG8:AG12)</f>
        <v>0</v>
      </c>
      <c r="AH13" s="188">
        <f t="shared" si="7"/>
        <v>0</v>
      </c>
      <c r="AI13" s="188">
        <f t="shared" si="7"/>
        <v>0</v>
      </c>
      <c r="AJ13" s="188">
        <f t="shared" si="7"/>
        <v>0</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34</v>
      </c>
      <c r="AZ13" s="188">
        <f>SUBTOTAL(9,AZ8:AZ12)</f>
        <v>30</v>
      </c>
      <c r="BA13" s="188">
        <f>SUBTOTAL(9,BA8:BA12)</f>
        <v>14</v>
      </c>
      <c r="BB13" s="188">
        <f>SUBTOTAL(9,BB8:BB12)</f>
        <v>50</v>
      </c>
      <c r="BC13" s="188">
        <f>SUBTOTAL(9,BC8:BC12)</f>
        <v>3</v>
      </c>
      <c r="BD13" s="209">
        <f>IF(ISNUMBER(BA13/AZ13),BA13/AZ13," - ")</f>
        <v>0.46666666666666667</v>
      </c>
      <c r="BE13" s="210">
        <f>IF(ISNUMBER(BB13/BA13),BB13/BA13, " - ")</f>
        <v>3.5714285714285716</v>
      </c>
      <c r="BF13" s="210">
        <f>IF(ISNUMBER(BC13/BA13),BC13/BA13, " - ")</f>
        <v>0.21428571428571427</v>
      </c>
      <c r="BG13" s="211">
        <f>IF(ISNUMBER((AY13+AZ13)/BA13),(AY13+AZ13)/BA13," - ")</f>
        <v>4.5714285714285712</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1304</v>
      </c>
      <c r="J15" s="187">
        <v>1184</v>
      </c>
      <c r="K15" s="187">
        <v>818</v>
      </c>
      <c r="L15" s="187">
        <v>1504</v>
      </c>
      <c r="M15" s="187">
        <v>119</v>
      </c>
      <c r="N15" s="187">
        <v>460</v>
      </c>
      <c r="O15" s="185">
        <v>23</v>
      </c>
      <c r="P15" s="187">
        <v>29</v>
      </c>
      <c r="Q15" s="187">
        <v>45</v>
      </c>
      <c r="R15" s="187">
        <v>107</v>
      </c>
      <c r="S15" s="187">
        <v>0</v>
      </c>
      <c r="T15" s="187">
        <v>0</v>
      </c>
      <c r="U15" s="187">
        <v>0</v>
      </c>
      <c r="V15" s="187">
        <v>0</v>
      </c>
      <c r="W15" s="187">
        <v>0</v>
      </c>
      <c r="X15" s="193">
        <v>0</v>
      </c>
      <c r="Y15" s="206">
        <v>0</v>
      </c>
      <c r="Z15" s="187">
        <v>0</v>
      </c>
      <c r="AA15" s="187">
        <v>0</v>
      </c>
      <c r="AB15" s="187">
        <v>0</v>
      </c>
      <c r="AC15" s="187">
        <v>9</v>
      </c>
      <c r="AD15" s="187">
        <v>21</v>
      </c>
      <c r="AE15" s="187">
        <v>21</v>
      </c>
      <c r="AF15" s="193">
        <v>9</v>
      </c>
      <c r="AG15" s="206">
        <v>0</v>
      </c>
      <c r="AH15" s="187">
        <v>0</v>
      </c>
      <c r="AI15" s="187">
        <v>0</v>
      </c>
      <c r="AJ15" s="207">
        <v>0</v>
      </c>
      <c r="AK15" s="186">
        <v>0</v>
      </c>
      <c r="AL15" s="187">
        <v>0</v>
      </c>
      <c r="AM15" s="187">
        <v>0</v>
      </c>
      <c r="AN15" s="193">
        <v>0</v>
      </c>
      <c r="AO15" s="263">
        <v>3</v>
      </c>
      <c r="AP15" s="159">
        <v>3</v>
      </c>
      <c r="AQ15" s="159">
        <v>3</v>
      </c>
      <c r="AR15" s="159">
        <v>3</v>
      </c>
      <c r="AS15" s="349" t="s">
        <v>531</v>
      </c>
      <c r="AT15" s="207" t="s">
        <v>329</v>
      </c>
      <c r="AU15" s="206"/>
      <c r="AV15" s="207"/>
      <c r="AW15" s="206"/>
      <c r="AX15" s="207"/>
      <c r="AY15" s="129">
        <f t="shared" ref="AY15:BB16" si="9">IF(ISNUMBER(IF(D_I="SI",S15,S15+AK15)),IF(D_I="SI",S15,S15+AK15)," - ")</f>
        <v>0</v>
      </c>
      <c r="AZ15" s="130">
        <f t="shared" si="9"/>
        <v>0</v>
      </c>
      <c r="BA15" s="130">
        <f t="shared" si="9"/>
        <v>0</v>
      </c>
      <c r="BB15" s="130">
        <f t="shared" si="9"/>
        <v>0</v>
      </c>
      <c r="BC15" s="126">
        <f>IF(ISNUMBER(W15),W15," - ")</f>
        <v>0</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136</v>
      </c>
      <c r="J17" s="187">
        <v>514</v>
      </c>
      <c r="K17" s="187">
        <v>440</v>
      </c>
      <c r="L17" s="187">
        <v>210</v>
      </c>
      <c r="M17" s="187">
        <v>87</v>
      </c>
      <c r="N17" s="187">
        <v>183</v>
      </c>
      <c r="O17" s="187">
        <v>0</v>
      </c>
      <c r="P17" s="187">
        <v>3</v>
      </c>
      <c r="Q17" s="187">
        <v>10</v>
      </c>
      <c r="R17" s="187">
        <v>2</v>
      </c>
      <c r="S17" s="187">
        <v>122</v>
      </c>
      <c r="T17" s="187">
        <v>182</v>
      </c>
      <c r="U17" s="187">
        <v>164</v>
      </c>
      <c r="V17" s="187">
        <v>129</v>
      </c>
      <c r="W17" s="187">
        <v>21</v>
      </c>
      <c r="X17" s="193">
        <v>73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122</v>
      </c>
      <c r="AZ17" s="130">
        <f t="shared" si="14"/>
        <v>182</v>
      </c>
      <c r="BA17" s="130">
        <f t="shared" si="14"/>
        <v>164</v>
      </c>
      <c r="BB17" s="130">
        <f t="shared" si="14"/>
        <v>129</v>
      </c>
      <c r="BC17" s="126">
        <f>IF(ISNUMBER(W17),W17," - ")</f>
        <v>21</v>
      </c>
      <c r="BD17" s="127">
        <f>IF(ISNUMBER(BA17/AZ17),BA17/AZ17," - ")</f>
        <v>0.90109890109890112</v>
      </c>
      <c r="BE17" s="128">
        <f>IF(ISNUMBER(BB17/BA17),BB17/BA17, " - ")</f>
        <v>0.78658536585365857</v>
      </c>
      <c r="BF17" s="128">
        <f>IF(ISNUMBER(BC17/BA17),BC17/BA17, " - ")</f>
        <v>0.12804878048780488</v>
      </c>
      <c r="BG17" s="200">
        <f>IF(ISNUMBER((AY17+AZ17)/BA17),(AY17+AZ17)/BA17," - ")</f>
        <v>1.8536585365853659</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1440</v>
      </c>
      <c r="J18" s="188">
        <f t="shared" si="15"/>
        <v>1698</v>
      </c>
      <c r="K18" s="188">
        <f t="shared" si="15"/>
        <v>1258</v>
      </c>
      <c r="L18" s="188">
        <f t="shared" si="15"/>
        <v>1714</v>
      </c>
      <c r="M18" s="188">
        <f t="shared" si="15"/>
        <v>206</v>
      </c>
      <c r="N18" s="188">
        <f t="shared" si="15"/>
        <v>643</v>
      </c>
      <c r="O18" s="188">
        <f t="shared" si="15"/>
        <v>23</v>
      </c>
      <c r="P18" s="188">
        <f t="shared" si="15"/>
        <v>32</v>
      </c>
      <c r="Q18" s="188">
        <f t="shared" si="15"/>
        <v>55</v>
      </c>
      <c r="R18" s="188">
        <f t="shared" si="15"/>
        <v>109</v>
      </c>
      <c r="S18" s="188">
        <f t="shared" si="15"/>
        <v>122</v>
      </c>
      <c r="T18" s="188">
        <f t="shared" si="15"/>
        <v>182</v>
      </c>
      <c r="U18" s="188">
        <f t="shared" si="15"/>
        <v>164</v>
      </c>
      <c r="V18" s="188">
        <f t="shared" si="15"/>
        <v>129</v>
      </c>
      <c r="W18" s="188">
        <f t="shared" si="15"/>
        <v>21</v>
      </c>
      <c r="X18" s="188">
        <f t="shared" si="15"/>
        <v>73</v>
      </c>
      <c r="Y18" s="188">
        <f t="shared" si="15"/>
        <v>0</v>
      </c>
      <c r="Z18" s="188">
        <f t="shared" si="15"/>
        <v>0</v>
      </c>
      <c r="AA18" s="188">
        <f t="shared" si="15"/>
        <v>0</v>
      </c>
      <c r="AB18" s="188">
        <f t="shared" si="15"/>
        <v>0</v>
      </c>
      <c r="AC18" s="188">
        <f t="shared" si="15"/>
        <v>9</v>
      </c>
      <c r="AD18" s="188">
        <f t="shared" si="15"/>
        <v>21</v>
      </c>
      <c r="AE18" s="188">
        <f t="shared" si="15"/>
        <v>21</v>
      </c>
      <c r="AF18" s="188">
        <f t="shared" si="15"/>
        <v>9</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122</v>
      </c>
      <c r="AZ18" s="188">
        <f>SUBTOTAL(9,AZ14:AZ17)</f>
        <v>182</v>
      </c>
      <c r="BA18" s="188">
        <f>SUBTOTAL(9,BA14:BA17)</f>
        <v>164</v>
      </c>
      <c r="BB18" s="188">
        <f>SUBTOTAL(9,BB14:BB17)</f>
        <v>129</v>
      </c>
      <c r="BC18" s="188">
        <f>SUBTOTAL(9,BC14:BC17)</f>
        <v>21</v>
      </c>
      <c r="BD18" s="209">
        <f>IF(ISNUMBER(BA18/AZ18),BA18/AZ18," - ")</f>
        <v>0.90109890109890112</v>
      </c>
      <c r="BE18" s="210">
        <f>IF(ISNUMBER(BB18/BA18),BB18/BA18, " - ")</f>
        <v>0.78658536585365857</v>
      </c>
      <c r="BF18" s="210">
        <f>IF(ISNUMBER(BC18/BA18),BC18/BA18, " - ")</f>
        <v>0.12804878048780488</v>
      </c>
      <c r="BG18" s="211">
        <f>IF(ISNUMBER((AY18+AZ18)/BA18),(AY18+AZ18)/BA18," - ")</f>
        <v>1.8536585365853659</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4337</v>
      </c>
      <c r="J19" s="135">
        <f t="shared" si="18"/>
        <v>3042</v>
      </c>
      <c r="K19" s="135">
        <f t="shared" si="18"/>
        <v>2589</v>
      </c>
      <c r="L19" s="135">
        <f t="shared" si="18"/>
        <v>4624</v>
      </c>
      <c r="M19" s="135">
        <f t="shared" si="18"/>
        <v>551</v>
      </c>
      <c r="N19" s="135">
        <f t="shared" si="18"/>
        <v>1135</v>
      </c>
      <c r="O19" s="135">
        <f t="shared" si="18"/>
        <v>583</v>
      </c>
      <c r="P19" s="135">
        <f t="shared" si="18"/>
        <v>341</v>
      </c>
      <c r="Q19" s="135">
        <f t="shared" si="18"/>
        <v>153</v>
      </c>
      <c r="R19" s="135">
        <f t="shared" si="18"/>
        <v>3566</v>
      </c>
      <c r="S19" s="135">
        <f t="shared" si="18"/>
        <v>156</v>
      </c>
      <c r="T19" s="135">
        <f t="shared" si="18"/>
        <v>212</v>
      </c>
      <c r="U19" s="135">
        <f t="shared" si="18"/>
        <v>178</v>
      </c>
      <c r="V19" s="135">
        <f t="shared" si="18"/>
        <v>179</v>
      </c>
      <c r="W19" s="135">
        <f t="shared" si="18"/>
        <v>24</v>
      </c>
      <c r="X19" s="135">
        <f t="shared" si="18"/>
        <v>81</v>
      </c>
      <c r="Y19" s="135">
        <f t="shared" si="18"/>
        <v>188</v>
      </c>
      <c r="Z19" s="135">
        <f t="shared" si="18"/>
        <v>171</v>
      </c>
      <c r="AA19" s="135">
        <f t="shared" si="18"/>
        <v>123</v>
      </c>
      <c r="AB19" s="135">
        <f t="shared" si="18"/>
        <v>236</v>
      </c>
      <c r="AC19" s="135">
        <f t="shared" si="18"/>
        <v>9</v>
      </c>
      <c r="AD19" s="135">
        <f t="shared" si="18"/>
        <v>21</v>
      </c>
      <c r="AE19" s="135">
        <f t="shared" si="18"/>
        <v>21</v>
      </c>
      <c r="AF19" s="135">
        <f t="shared" si="18"/>
        <v>9</v>
      </c>
      <c r="AG19" s="135">
        <f t="shared" si="18"/>
        <v>0</v>
      </c>
      <c r="AH19" s="135">
        <f t="shared" si="18"/>
        <v>0</v>
      </c>
      <c r="AI19" s="135">
        <f t="shared" si="18"/>
        <v>0</v>
      </c>
      <c r="AJ19" s="135">
        <f t="shared" si="18"/>
        <v>0</v>
      </c>
      <c r="AK19" s="135">
        <f t="shared" si="18"/>
        <v>0</v>
      </c>
      <c r="AL19" s="135">
        <f t="shared" si="18"/>
        <v>0</v>
      </c>
      <c r="AM19" s="135">
        <f t="shared" si="18"/>
        <v>0</v>
      </c>
      <c r="AN19" s="214">
        <f t="shared" si="18"/>
        <v>0</v>
      </c>
      <c r="AO19" s="215">
        <v>10</v>
      </c>
      <c r="AP19" s="215">
        <v>9</v>
      </c>
      <c r="AQ19" s="215">
        <v>9</v>
      </c>
      <c r="AR19" s="215">
        <v>9</v>
      </c>
      <c r="AS19" s="157">
        <f t="shared" si="18"/>
        <v>0</v>
      </c>
      <c r="AT19" s="157">
        <f t="shared" si="18"/>
        <v>0</v>
      </c>
      <c r="AU19" s="215"/>
      <c r="AV19" s="216"/>
      <c r="AW19" s="215"/>
      <c r="AX19" s="216"/>
      <c r="AY19" s="134">
        <f>SUBTOTAL(9,AY9:AY18)</f>
        <v>156</v>
      </c>
      <c r="AZ19" s="135">
        <f>SUBTOTAL(9,AZ9:AZ18)</f>
        <v>212</v>
      </c>
      <c r="BA19" s="135">
        <f>SUBTOTAL(9,BA9:BA18)</f>
        <v>178</v>
      </c>
      <c r="BB19" s="135">
        <f>SUBTOTAL(9,BB9:BB18)</f>
        <v>179</v>
      </c>
      <c r="BC19" s="136">
        <f>SUBTOTAL(9,BC9:BC18)</f>
        <v>24</v>
      </c>
      <c r="BD19" s="217">
        <f>IF(ISNUMBER(BA19/AZ19),BA19/AZ19," - ")</f>
        <v>0.839622641509434</v>
      </c>
      <c r="BE19" s="214">
        <f>IF(ISNUMBER(BB19/BA19),BB19/BA19, " - ")</f>
        <v>1.0056179775280898</v>
      </c>
      <c r="BF19" s="214">
        <f>IF(ISNUMBER(BC19/BA19),BC19/BA19, " - ")</f>
        <v>0.1348314606741573</v>
      </c>
      <c r="BG19" s="136">
        <f>IF(ISNUMBER((AY19+AZ19)/BA19),(AY19+AZ19)/BA19," - ")</f>
        <v>2.0674157303370788</v>
      </c>
      <c r="BH19" s="215">
        <f>SUBTOTAL(9,BH9:BH18)</f>
        <v>20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OOvXefCXaKU/HiFPOK4pC6FEqTG+/t2F4Kv8eCvQyIdVzCvvjxvEPsZkemiBG0GZHJC4kdaNtJOdRMVcjlhw==" saltValue="GtH++WfvVMT6o15k/GDYv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vAShlrCWLOHE4hHSrrRN9m08EScaQh/K+YPSOiKiZg1S9OkZrfU0WyGgx3kqv1N14mZBLc2MmqmXJWhFbvIbw==" saltValue="BXDAPdZMJ82e7KGfqwF4f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CACERES  Resumenes por Partidos Judiciales  CACERES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171</v>
      </c>
      <c r="O9" s="503"/>
      <c r="P9" s="503"/>
      <c r="Q9" s="501">
        <f>IF(ISNUMBER(Datos!P9),Datos!P9,0)</f>
        <v>308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98</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236</v>
      </c>
      <c r="AI9" s="503" t="str">
        <f>IF(ISNUMBER(Datos!CD9),Datos!CD9,"-")</f>
        <v>-</v>
      </c>
      <c r="AJ9" s="503" t="str">
        <f>IF(ISNUMBER(Datos!EN9),Datos!EN9," - ")</f>
        <v xml:space="preserve"> - </v>
      </c>
      <c r="AK9" s="503"/>
      <c r="AL9" s="504"/>
      <c r="AM9" s="671">
        <f>IF(ISNUMBER(Datos!R9),Datos!R9," - ")</f>
        <v>3441</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340</v>
      </c>
      <c r="BD9" s="619">
        <f>IF(ISNUMBER(Datos!N9),Datos!N9," - ")</f>
        <v>492</v>
      </c>
      <c r="BE9" s="619" t="str">
        <f>IF(ISNUMBER(Datos!BW9),Datos!BW9," - ")</f>
        <v xml:space="preserve"> - </v>
      </c>
      <c r="BF9" s="667" t="str">
        <f>IF(ISNUMBER(Datos!BX9),Datos!BX9," - ")</f>
        <v xml:space="preserve"> - </v>
      </c>
      <c r="BG9" s="668">
        <f>IF(ISNUMBER(IF(J_V="SI",Datos!K9/Datos!J9,(Datos!K9+Datos!AA9)/(Datos!J9+Datos!Z9))),IF(J_V="SI",Datos!K9/Datos!J9,(Datos!K9+Datos!AA9)/(Datos!J9+Datos!Z9))," - ")</f>
        <v>0.97625508819538676</v>
      </c>
      <c r="BH9" s="669">
        <f>IF(ISNUMBER(((IF(J_V="SI",Datos!L9/Datos!K9,(Datos!L9+Datos!AB9)/(Datos!K9+Datos!AA9)))*11)/factor_trimestre),((IF(J_V="SI",Datos!L9/Datos!K9,(Datos!L9+Datos!AB9)/(Datos!K9+Datos!AA9)))*11)/factor_trimestre," - ")</f>
        <v>4.2251563585823488</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6.4995357474466109E-2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80</v>
      </c>
      <c r="G10" s="497">
        <f>IF(ISNUMBER(Datos!I10),Datos!I10," - ")</f>
        <v>80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15</v>
      </c>
      <c r="AC10" s="501">
        <f>IF(ISNUMBER(Datos!Q10),Datos!Q10," - ")</f>
        <v>0</v>
      </c>
      <c r="AD10" s="503"/>
      <c r="AE10" s="516"/>
      <c r="AF10" s="505">
        <f>IF(ISNUMBER(Datos!L10),Datos!L10,"-")</f>
        <v>106</v>
      </c>
      <c r="AG10" s="503"/>
      <c r="AH10" s="503"/>
      <c r="AI10" s="503"/>
      <c r="AJ10" s="503"/>
      <c r="AK10" s="503"/>
      <c r="AL10" s="504"/>
      <c r="AM10" s="671">
        <f>IF(ISNUMBER(Datos!R10),Datos!R10," - ")</f>
        <v>16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0</v>
      </c>
      <c r="BE10" s="619" t="str">
        <f>IF(ISNUMBER(Datos!BW10),Datos!BW10," - ")</f>
        <v xml:space="preserve"> - </v>
      </c>
      <c r="BF10" s="667" t="str">
        <f>IF(ISNUMBER(Datos!BX10),Datos!BX10," - ")</f>
        <v xml:space="preserve"> - </v>
      </c>
      <c r="BG10" s="668">
        <f>IF(ISNUMBER(Datos!K10/Datos!J10),Datos!K10/Datos!J10," - ")</f>
        <v>0.36585365853658536</v>
      </c>
      <c r="BH10" s="669">
        <f>IF(ISNUMBER(((Datos!L10/Datos!K10)*11)/factor_trimestre),((Datos!L10/Datos!K10)*11)/factor_trimestre," - ")</f>
        <v>14.133333333333333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6.6666666666666666E-2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80</v>
      </c>
      <c r="G13" s="1044">
        <f t="shared" si="0"/>
        <v>80</v>
      </c>
      <c r="H13" s="1045">
        <f t="shared" si="0"/>
        <v>0</v>
      </c>
      <c r="I13" s="1044">
        <f t="shared" si="0"/>
        <v>0</v>
      </c>
      <c r="J13" s="1013">
        <f t="shared" si="0"/>
        <v>0</v>
      </c>
      <c r="K13" s="1013">
        <f t="shared" si="0"/>
        <v>0</v>
      </c>
      <c r="L13" s="1045">
        <f t="shared" si="0"/>
        <v>0</v>
      </c>
      <c r="M13" s="1045">
        <f t="shared" si="0"/>
        <v>0</v>
      </c>
      <c r="N13" s="1045">
        <f t="shared" si="0"/>
        <v>171</v>
      </c>
      <c r="O13" s="1046">
        <f t="shared" si="0"/>
        <v>0</v>
      </c>
      <c r="P13" s="1046">
        <f t="shared" si="0"/>
        <v>0</v>
      </c>
      <c r="Q13" s="1045">
        <f t="shared" si="0"/>
        <v>309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15</v>
      </c>
      <c r="AC13" s="1045">
        <f t="shared" si="1"/>
        <v>98</v>
      </c>
      <c r="AD13" s="1045">
        <f t="shared" si="1"/>
        <v>0</v>
      </c>
      <c r="AE13" s="1045">
        <f t="shared" si="1"/>
        <v>0</v>
      </c>
      <c r="AF13" s="1045">
        <f t="shared" si="1"/>
        <v>106</v>
      </c>
      <c r="AG13" s="1045">
        <f t="shared" si="1"/>
        <v>0</v>
      </c>
      <c r="AH13" s="1045">
        <f t="shared" si="1"/>
        <v>236</v>
      </c>
      <c r="AI13" s="1045">
        <f t="shared" si="1"/>
        <v>0</v>
      </c>
      <c r="AJ13" s="1045">
        <f t="shared" si="1"/>
        <v>0</v>
      </c>
      <c r="AK13" s="1045">
        <f t="shared" si="1"/>
        <v>0</v>
      </c>
      <c r="AL13" s="1045">
        <f t="shared" si="1"/>
        <v>0</v>
      </c>
      <c r="AM13" s="1045">
        <f t="shared" si="1"/>
        <v>3457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345</v>
      </c>
      <c r="BD13" s="1045">
        <f t="shared" si="1"/>
        <v>492</v>
      </c>
      <c r="BE13" s="1045">
        <f t="shared" si="1"/>
        <v>0</v>
      </c>
      <c r="BF13" s="1045">
        <f t="shared" si="1"/>
        <v>0</v>
      </c>
      <c r="BG13" s="1045">
        <f>IF(ISNUMBER(Datos!K13/Datos!J13),Datos!K13/Datos!J13," - ")</f>
        <v>0.99032738095238093</v>
      </c>
      <c r="BH13" s="1049">
        <f>IF(ISNUMBER(((Datos!L13/Datos!K13)*11)/factor_trimestre),((Datos!L13/Datos!K13)*11)/factor_trimestre," - ")</f>
        <v>4.3726521412471824</v>
      </c>
      <c r="BI13" s="1045">
        <f>IF(ISNUMBER('Resol  Asuntos'!D13/NºAsuntos!G13),'Resol  Asuntos'!D13/NºAsuntos!G13," - ")</f>
        <v>0.23727647867950483</v>
      </c>
      <c r="BJ13" s="1045" t="str">
        <f>IF(ISNUMBER(Datos!CI13/Datos!CJ13),Datos!CI13/Datos!CJ13," - ")</f>
        <v xml:space="preserve"> - </v>
      </c>
      <c r="BK13" s="1045">
        <f>SUBTOTAL(9,BK8:BK12)</f>
        <v>0</v>
      </c>
      <c r="BL13" s="1045">
        <f>IF(ISNUMBER((I13-AB13+L13)/(F13)),(I13-AB13+L13)/(F13)," - ")</f>
        <v>-0.1875</v>
      </c>
      <c r="BM13" s="1050">
        <f>SUBTOTAL(9,BM9:BM12)</f>
        <v>0.13166202414113276</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1138</v>
      </c>
      <c r="G15" s="650">
        <f>IF(ISNUMBER(IF(D_I="SI",Datos!I15,Datos!I15+Datos!AC15)),IF(D_I="SI",Datos!I15,Datos!I15+Datos!AC15)," - ")</f>
        <v>1304</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29</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818</v>
      </c>
      <c r="AC15" s="230">
        <f>IF(ISNUMBER(Datos!Q15),Datos!Q15," - ")</f>
        <v>45</v>
      </c>
      <c r="AD15" s="343"/>
      <c r="AE15" s="515"/>
      <c r="AF15" s="648">
        <f>IF(ISNUMBER(IF(D_I="SI",Datos!L15,Datos!L15+Datos!AF15)),IF(D_I="SI",Datos!L15,Datos!L15+Datos!AF15)," - ")</f>
        <v>1504</v>
      </c>
      <c r="AG15" s="343"/>
      <c r="AH15" s="343"/>
      <c r="AI15" s="343"/>
      <c r="AJ15" s="503"/>
      <c r="AK15" s="343"/>
      <c r="AL15" s="499"/>
      <c r="AM15" s="344">
        <f>IF(ISNUMBER(Datos!R15),Datos!R15," - ")</f>
        <v>107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119</v>
      </c>
      <c r="BD15" s="233">
        <f>IF(ISNUMBER(Datos!N15),Datos!N15," - ")</f>
        <v>460</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0.6908783783783784</v>
      </c>
      <c r="BH15" s="669">
        <f>IF(ISNUMBER(((IF(D_I="SI",Datos!L15/Datos!K15,(Datos!L15+Datos!AF15)/(Datos!K15+Datos!AE15)))*11)/factor_trimestre),((IF(D_I="SI",Datos!L15/Datos!K15,(Datos!L15+Datos!AF15)/(Datos!K15+Datos!AE15)))*11)/factor_trimestre," - ")</f>
        <v>3.6772616136919321</v>
      </c>
      <c r="BI15" s="247">
        <f>IF(ISNUMBER('Resol  Asuntos'!D15/NºAsuntos!G15),'Resol  Asuntos'!D15/NºAsuntos!G15," - ")</f>
        <v>0.14547677261613692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3</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440</v>
      </c>
      <c r="AC17" s="501">
        <f>IF(ISNUMBER(Datos!Q17),Datos!Q17," - ")</f>
        <v>10</v>
      </c>
      <c r="AD17" s="503"/>
      <c r="AE17" s="515"/>
      <c r="AF17" s="505">
        <f>IF(ISNUMBER(Datos!L17),Datos!L17,"-")</f>
        <v>210</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87</v>
      </c>
      <c r="BD17" s="619">
        <f>IF(ISNUMBER(Datos!N17),Datos!N17," - ")</f>
        <v>183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0.85603112840466922</v>
      </c>
      <c r="BH17" s="669">
        <f>IF(ISNUMBER(((IF(D_I="SI",Datos!L17/Datos!K17,(Datos!L17+Datos!AF17)/(Datos!K17+Datos!AE17)))*11)/factor_trimestre),((IF(D_I="SI",Datos!L17/Datos!K17,(Datos!L17+Datos!AF17)/(Datos!K17+Datos!AE17)))*11)/factor_trimestre," - ")</f>
        <v>0.95454545454545459</v>
      </c>
      <c r="BI17" s="668">
        <f>IF(ISNUMBER('Resol  Asuntos'!D17/NºAsuntos!G17),'Resol  Asuntos'!D17/NºAsuntos!G17," - ")</f>
        <v>0.19772727272727272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1138</v>
      </c>
      <c r="G18" s="1044">
        <f>SUBTOTAL(9,G15:G17)</f>
        <v>1440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1258</v>
      </c>
      <c r="AC18" s="1045">
        <f t="shared" si="4"/>
        <v>55</v>
      </c>
      <c r="AD18" s="1045">
        <f t="shared" si="4"/>
        <v>0</v>
      </c>
      <c r="AE18" s="1045">
        <f t="shared" si="4"/>
        <v>0</v>
      </c>
      <c r="AF18" s="1045">
        <f t="shared" si="4"/>
        <v>1714</v>
      </c>
      <c r="AG18" s="1045">
        <f t="shared" si="4"/>
        <v>0</v>
      </c>
      <c r="AH18" s="1045">
        <f t="shared" si="4"/>
        <v>0</v>
      </c>
      <c r="AI18" s="1045">
        <f t="shared" si="4"/>
        <v>0</v>
      </c>
      <c r="AJ18" s="1045">
        <f t="shared" si="4"/>
        <v>0</v>
      </c>
      <c r="AK18" s="1045">
        <f t="shared" si="4"/>
        <v>0</v>
      </c>
      <c r="AL18" s="1045">
        <f t="shared" si="4"/>
        <v>0</v>
      </c>
      <c r="AM18" s="1045">
        <f t="shared" si="4"/>
        <v>109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206</v>
      </c>
      <c r="BD18" s="1045">
        <f t="shared" si="4"/>
        <v>643</v>
      </c>
      <c r="BE18" s="1045">
        <f t="shared" si="4"/>
        <v>0</v>
      </c>
      <c r="BF18" s="1045">
        <f t="shared" si="4"/>
        <v>0</v>
      </c>
      <c r="BG18" s="1045">
        <f>IF(ISNUMBER(Datos!K18/Datos!J18),Datos!K18/Datos!J18," - ")</f>
        <v>0.74087161366313314</v>
      </c>
      <c r="BH18" s="1049">
        <f>IF(ISNUMBER(((Datos!L18/Datos!K18)*11)/factor_trimestre),((Datos!L18/Datos!K18)*11)/factor_trimestre," - ")</f>
        <v>2.7249602543720193</v>
      </c>
      <c r="BI18" s="1045">
        <f>SUBTOTAL(9,BI15:BI17)</f>
        <v>0.34320404534340965</v>
      </c>
      <c r="BJ18" s="1045">
        <f>SUBTOTAL(9,BJ15:BJ17)</f>
        <v>0</v>
      </c>
      <c r="BK18" s="1045">
        <f>SUBTOTAL(9,BK15:BK17)</f>
        <v>0</v>
      </c>
      <c r="BL18" s="1045">
        <f>IF(ISNUMBER((I18-AB18+L18)/(F18)),(I18-AB18+L18)/(F18)," - ")</f>
        <v>-1.1054481546572934</v>
      </c>
      <c r="BM18" s="1051">
        <f>IF(ISNUMBER((Datos!P18-Datos!Q18)/(Datos!R18-Datos!P18+Datos!Q18)),(Datos!P18-Datos!Q18)/(Datos!R18-Datos!P18+Datos!Q18)," - ")</f>
        <v>-0.17424242424242425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1218</v>
      </c>
      <c r="G19" s="966">
        <f t="shared" si="6"/>
        <v>1520</v>
      </c>
      <c r="H19" s="968">
        <f t="shared" si="6"/>
        <v>0</v>
      </c>
      <c r="I19" s="966">
        <f t="shared" si="6"/>
        <v>0</v>
      </c>
      <c r="J19" s="968">
        <f t="shared" si="6"/>
        <v>0</v>
      </c>
      <c r="K19" s="968">
        <f t="shared" si="6"/>
        <v>0</v>
      </c>
      <c r="L19" s="1027">
        <f t="shared" si="6"/>
        <v>0</v>
      </c>
      <c r="M19" s="1027">
        <f t="shared" si="6"/>
        <v>0</v>
      </c>
      <c r="N19" s="1027">
        <f t="shared" si="6"/>
        <v>171</v>
      </c>
      <c r="O19" s="1027">
        <f t="shared" si="6"/>
        <v>0</v>
      </c>
      <c r="P19" s="1027">
        <f t="shared" si="6"/>
        <v>0</v>
      </c>
      <c r="Q19" s="968">
        <f t="shared" si="6"/>
        <v>341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1273</v>
      </c>
      <c r="AC19" s="967">
        <f t="shared" si="7"/>
        <v>153</v>
      </c>
      <c r="AD19" s="967">
        <f t="shared" si="7"/>
        <v>0</v>
      </c>
      <c r="AE19" s="967">
        <f t="shared" si="7"/>
        <v>0</v>
      </c>
      <c r="AF19" s="974">
        <f t="shared" si="7"/>
        <v>1820</v>
      </c>
      <c r="AG19" s="974">
        <f t="shared" si="7"/>
        <v>0</v>
      </c>
      <c r="AH19" s="974">
        <f t="shared" si="7"/>
        <v>236</v>
      </c>
      <c r="AI19" s="974">
        <f t="shared" si="7"/>
        <v>0</v>
      </c>
      <c r="AJ19" s="967">
        <f t="shared" si="7"/>
        <v>0</v>
      </c>
      <c r="AK19" s="974">
        <f t="shared" si="7"/>
        <v>0</v>
      </c>
      <c r="AL19" s="974">
        <f t="shared" si="7"/>
        <v>0</v>
      </c>
      <c r="AM19" s="974">
        <f t="shared" si="7"/>
        <v>3566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551</v>
      </c>
      <c r="BD19" s="966">
        <f t="shared" si="7"/>
        <v>1135</v>
      </c>
      <c r="BE19" s="966">
        <f t="shared" si="7"/>
        <v>0</v>
      </c>
      <c r="BF19" s="976">
        <f t="shared" si="7"/>
        <v>0</v>
      </c>
      <c r="BG19" s="1061">
        <f>IF(ISNUMBER(Datos!K19/Datos!J19),Datos!K19/Datos!J19," - ")</f>
        <v>0.85108481262327418</v>
      </c>
      <c r="BH19" s="1061">
        <f>IF(ISNUMBER(((Datos!L19/Datos!K19)*11)/factor_trimestre),((Datos!L19/Datos!K19)*11)/factor_trimestre," - ")</f>
        <v>3.5720355349555812</v>
      </c>
      <c r="BI19" s="959">
        <f>IF(ISNUMBER(Datos!J19/Datos!I19),Datos!J19/Datos!I19," - ")</f>
        <v>0.7014065021904542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-1.0451559934318555</v>
      </c>
      <c r="BM19" s="1035">
        <f>IF(ISNUMBER((Datos!P19-Datos!Q19+R19)/(Datos!R19-Datos!P19+Datos!Q19-R19)),(Datos!P19-Datos!Q19+R19)/(Datos!R19-Datos!P19+Datos!Q19-R19)," - ")</f>
        <v>5.5654233274126705E-2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2.3333333333333335</v>
      </c>
      <c r="F21" s="599">
        <f>IF(ISNUMBER(STDEV(F8:F18)),STDEV(F8:F18),"-")</f>
        <v>610.83658480262409</v>
      </c>
      <c r="G21" s="600">
        <f>IF(ISNUMBER(STDEV(G8:G18)),STDEV(G8:G18),"-")</f>
        <v>699.46265089710118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536.03050286340988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138.86348212063052</v>
      </c>
      <c r="BD21" s="599"/>
      <c r="BE21" s="599">
        <f>IF(ISNUMBER(STDEV(BE8:BE18)),STDEV(BE8:BE18),"-")</f>
        <v>0</v>
      </c>
      <c r="BF21" s="604">
        <f>IF(ISNUMBER(STDEV(BF8:BF18)),STDEV(BF8:BF18),"-")</f>
        <v>0</v>
      </c>
      <c r="BG21" s="914">
        <f>IF(ISNUMBER(STDEV(BG8:BG18)),STDEV(BG8:BG18),"-")</f>
        <v>0.23191792626235908</v>
      </c>
      <c r="BH21" s="918">
        <f>IF(ISNUMBER(STDEV(BH8:BH18)),STDEV(BH8:BH18),"-")</f>
        <v>4.6411546610981524</v>
      </c>
      <c r="BI21" s="253">
        <f>IF(ISNUMBER(STDEV(BI8:BI18)),STDEV(BI8:BI18),"-")</f>
        <v>8.3766369353968181E-2</v>
      </c>
      <c r="BJ21" s="234" t="str">
        <f>IF(ISNUMBER(BL21/BM21),BL21/BM21," - ")</f>
        <v xml:space="preserve"> - </v>
      </c>
      <c r="BK21" s="626"/>
      <c r="BL21" s="607">
        <f>IF(ISNUMBER(STDEV(BL8:BL18)),STDEV(BL8:BL18),"-")</f>
        <v>0.64908736493584984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AuBsxlsrA43iuaPD+87bn2rILYERslYPm73u0baC+XGr+ij6T/lMhirYRYPQjDt7Iz3RL0/O7rr9y5UbFZUnXQ==" saltValue="HbRnHUQB0zn92PuSACif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CACERES  Resumenes por Partidos Judiciales  CACERES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308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98</v>
      </c>
      <c r="AA9" s="505" t="str">
        <f>IF(ISNUMBER(IF(J_V="SI",Datos!L9,Datos!L9+Datos!AB9)-IF(Monitorios="SI",Datos!CD9,0)),
                          IF(J_V="SI",Datos!L9,Datos!L9+Datos!AB9)-IF(Monitorios="SI",Datos!CD9,0),
                          " - ")</f>
        <v xml:space="preserve"> - </v>
      </c>
      <c r="AB9" s="503"/>
      <c r="AC9" s="503"/>
      <c r="AD9" s="516"/>
      <c r="AE9" s="516">
        <f>IF(ISNUMBER(Datos!R9),Datos!R9," - ")</f>
        <v>3441</v>
      </c>
      <c r="AF9" s="619" t="str">
        <f>IF(ISNUMBER(Datos!BV9),Datos!BV9," - ")</f>
        <v xml:space="preserve"> - </v>
      </c>
      <c r="AG9" s="506" t="str">
        <f>IF(ISNUMBER(Datos!DV9),Datos!DV9," - ")</f>
        <v xml:space="preserve"> - </v>
      </c>
      <c r="AH9" s="507"/>
      <c r="AI9" s="508"/>
      <c r="AJ9" s="506">
        <f>IF(ISNUMBER(Datos!M9),Datos!M9," - ")</f>
        <v>340</v>
      </c>
      <c r="AK9" s="619">
        <f>IF(ISNUMBER(Datos!N9),Datos!N9," - ")</f>
        <v>492</v>
      </c>
      <c r="AL9" s="619" t="str">
        <f>IF(ISNUMBER(Datos!BW9),Datos!BW9," - ")</f>
        <v xml:space="preserve"> - </v>
      </c>
      <c r="AM9" s="667" t="str">
        <f>IF(ISNUMBER(Datos!BX9),Datos!BX9," - ")</f>
        <v xml:space="preserve"> - </v>
      </c>
      <c r="AN9" s="668"/>
      <c r="AO9" s="669">
        <f>IF(ISNUMBER(((NºAsuntos!I9/NºAsuntos!G9)*11)/factor_trimestre),((NºAsuntos!I9/NºAsuntos!G9)*11)/factor_trimestre," - ")</f>
        <v>4.2251563585823488</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6.4995357474466109E-2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80</v>
      </c>
      <c r="G10" s="506">
        <f>IF(ISNUMBER(Datos!I10),Datos!I10," - ")</f>
        <v>80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15</v>
      </c>
      <c r="Z10" s="703">
        <f>IF(ISNUMBER(Datos!Q10),Datos!Q10," - ")</f>
        <v>0</v>
      </c>
      <c r="AA10" s="505">
        <f>IF(ISNUMBER(Datos!L10),Datos!L10,"-")</f>
        <v>106</v>
      </c>
      <c r="AB10" s="503"/>
      <c r="AC10" s="503"/>
      <c r="AD10" s="516"/>
      <c r="AE10" s="516">
        <f>IF(ISNUMBER(Datos!R10),Datos!R10," - ")</f>
        <v>16</v>
      </c>
      <c r="AF10" s="619" t="str">
        <f>IF(ISNUMBER(Datos!BV10),Datos!BV10," - ")</f>
        <v xml:space="preserve"> - </v>
      </c>
      <c r="AG10" s="506" t="str">
        <f>IF(ISNUMBER(Datos!DV10),Datos!DV10," - ")</f>
        <v xml:space="preserve"> - </v>
      </c>
      <c r="AH10" s="507"/>
      <c r="AI10" s="508"/>
      <c r="AJ10" s="506">
        <f>IF(ISNUMBER(Datos!M10),Datos!M10," - ")</f>
        <v>5</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14.133333333333333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6.6666666666666666E-2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80</v>
      </c>
      <c r="G13" s="1044">
        <f>SUBTOTAL(9,G8:G12)</f>
        <v>80</v>
      </c>
      <c r="H13" s="1054"/>
      <c r="I13" s="1044">
        <f t="shared" ref="I13:N13" si="0">SUBTOTAL(9,I8:I12)</f>
        <v>0</v>
      </c>
      <c r="J13" s="1013">
        <f t="shared" si="0"/>
        <v>0</v>
      </c>
      <c r="K13" s="1054">
        <f t="shared" si="0"/>
        <v>0</v>
      </c>
      <c r="L13" s="1054">
        <f t="shared" si="0"/>
        <v>0</v>
      </c>
      <c r="M13" s="1054">
        <f t="shared" si="0"/>
        <v>0</v>
      </c>
      <c r="N13" s="1054">
        <f t="shared" si="0"/>
        <v>309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15</v>
      </c>
      <c r="Z13" s="1053">
        <f t="shared" si="2"/>
        <v>98</v>
      </c>
      <c r="AA13" s="1046">
        <f t="shared" si="2"/>
        <v>106</v>
      </c>
      <c r="AB13" s="1046">
        <f t="shared" si="2"/>
        <v>0</v>
      </c>
      <c r="AC13" s="1046">
        <f t="shared" si="2"/>
        <v>0</v>
      </c>
      <c r="AD13" s="1046">
        <f t="shared" si="2"/>
        <v>0</v>
      </c>
      <c r="AE13" s="1046">
        <f t="shared" si="2"/>
        <v>3457</v>
      </c>
      <c r="AF13" s="1054">
        <f t="shared" si="2"/>
        <v>0</v>
      </c>
      <c r="AG13" s="1054">
        <f t="shared" si="2"/>
        <v>0</v>
      </c>
      <c r="AH13" s="1054">
        <f t="shared" si="2"/>
        <v>0</v>
      </c>
      <c r="AI13" s="1054">
        <f t="shared" si="2"/>
        <v>0</v>
      </c>
      <c r="AJ13" s="1054">
        <f t="shared" si="2"/>
        <v>345</v>
      </c>
      <c r="AK13" s="1054">
        <f t="shared" si="2"/>
        <v>492</v>
      </c>
      <c r="AL13" s="1054">
        <f t="shared" si="2"/>
        <v>0</v>
      </c>
      <c r="AM13" s="1054">
        <f t="shared" si="2"/>
        <v>0</v>
      </c>
      <c r="AN13" s="1054">
        <f t="shared" si="2"/>
        <v>0</v>
      </c>
      <c r="AO13" s="1050">
        <f>IF(ISNUMBER(((NºAsuntos!I13/NºAsuntos!G13)*11)/factor_trimestre),((NºAsuntos!I13/NºAsuntos!G13)*11)/factor_trimestre," - ")</f>
        <v>4.3273727647867952</v>
      </c>
      <c r="AP13" s="1056" t="str">
        <f>IF(ISNUMBER(Datos!CI13/Datos!CJ13),Datos!CI13/Datos!CJ13," - ")</f>
        <v xml:space="preserve"> - </v>
      </c>
      <c r="AQ13" s="1074">
        <f t="shared" ref="AQ13:AV13" si="3">SUBTOTAL(9,AQ9:AQ12)</f>
        <v>0</v>
      </c>
      <c r="AR13" s="1074">
        <f t="shared" si="3"/>
        <v>0.13166202414113276</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1138</v>
      </c>
      <c r="G15" s="506">
        <f>IF(ISNUMBER(IF(D_I="SI",Datos!I15,Datos!I15+Datos!AC15)),IF(D_I="SI",Datos!I15,Datos!I15+Datos!AC15)," - ")</f>
        <v>1304</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29</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818</v>
      </c>
      <c r="Z15" s="703">
        <f>IF(ISNUMBER(Datos!Q15),Datos!Q15," - ")</f>
        <v>45</v>
      </c>
      <c r="AA15" s="505">
        <f>IF(ISNUMBER(IF(D_I="SI",Datos!L15,Datos!L15+Datos!AF15)),IF(D_I="SI",Datos!L15,Datos!L15+Datos!AF15)," - ")</f>
        <v>1504</v>
      </c>
      <c r="AB15" s="503"/>
      <c r="AC15" s="503"/>
      <c r="AD15" s="516"/>
      <c r="AE15" s="516">
        <f>IF(ISNUMBER(Datos!R15),Datos!R15," - ")</f>
        <v>107</v>
      </c>
      <c r="AF15" s="619" t="str">
        <f>IF(ISNUMBER(Datos!BV15),Datos!BV15," - ")</f>
        <v xml:space="preserve"> - </v>
      </c>
      <c r="AG15" s="506"/>
      <c r="AH15" s="507"/>
      <c r="AI15" s="508"/>
      <c r="AJ15" s="506">
        <f>IF(ISNUMBER(Datos!M15),Datos!M15," - ")</f>
        <v>119</v>
      </c>
      <c r="AK15" s="619">
        <f>IF(ISNUMBER(Datos!N15),Datos!N15," - ")</f>
        <v>460</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3.6772616136919321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3</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440</v>
      </c>
      <c r="Z17" s="703">
        <f>IF(ISNUMBER(Datos!Q17),Datos!Q17," - ")</f>
        <v>10</v>
      </c>
      <c r="AA17" s="505">
        <f>IF(ISNUMBER(Datos!L17),Datos!L17,"-")</f>
        <v>210</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87</v>
      </c>
      <c r="AK17" s="619">
        <f>IF(ISNUMBER(Datos!N17),Datos!N17," - ")</f>
        <v>183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0.95454545454545459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1138</v>
      </c>
      <c r="G18" s="1044">
        <f>SUBTOTAL(9,G15:G17)</f>
        <v>1440</v>
      </c>
      <c r="H18" s="1078">
        <f>SUBTOTAL(9,H15:H17)</f>
        <v>0</v>
      </c>
      <c r="I18" s="1057">
        <f>SUBTOTAL(9,I15:I17)</f>
        <v>0</v>
      </c>
      <c r="J18" s="1013">
        <f>SUBTOTAL(9,J14:J17)</f>
        <v>0</v>
      </c>
      <c r="K18" s="1078">
        <f t="shared" ref="K18:S18" si="4">SUBTOTAL(9,K15:K17)</f>
        <v>0</v>
      </c>
      <c r="L18" s="1078">
        <f t="shared" si="4"/>
        <v>0</v>
      </c>
      <c r="M18" s="1078">
        <f t="shared" si="4"/>
        <v>0</v>
      </c>
      <c r="N18" s="1078">
        <f t="shared" si="4"/>
        <v>32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1258</v>
      </c>
      <c r="Z18" s="1078">
        <f t="shared" si="5"/>
        <v>55</v>
      </c>
      <c r="AA18" s="1078">
        <f t="shared" si="5"/>
        <v>1714</v>
      </c>
      <c r="AB18" s="1078">
        <f t="shared" si="5"/>
        <v>0</v>
      </c>
      <c r="AC18" s="1078">
        <f t="shared" si="5"/>
        <v>0</v>
      </c>
      <c r="AD18" s="1078">
        <f t="shared" si="5"/>
        <v>0</v>
      </c>
      <c r="AE18" s="1078">
        <f t="shared" si="5"/>
        <v>109</v>
      </c>
      <c r="AF18" s="1078">
        <f t="shared" si="5"/>
        <v>0</v>
      </c>
      <c r="AG18" s="1078">
        <f t="shared" si="5"/>
        <v>0</v>
      </c>
      <c r="AH18" s="1078">
        <f t="shared" si="5"/>
        <v>0</v>
      </c>
      <c r="AI18" s="1078">
        <f t="shared" si="5"/>
        <v>0</v>
      </c>
      <c r="AJ18" s="1078">
        <f t="shared" si="5"/>
        <v>206</v>
      </c>
      <c r="AK18" s="1078">
        <f t="shared" si="5"/>
        <v>643</v>
      </c>
      <c r="AL18" s="1078">
        <f t="shared" si="5"/>
        <v>0</v>
      </c>
      <c r="AM18" s="1078">
        <f t="shared" si="5"/>
        <v>0</v>
      </c>
      <c r="AN18" s="1078">
        <f t="shared" si="5"/>
        <v>0</v>
      </c>
      <c r="AO18" s="1080">
        <f>IF(ISNUMBER(((NºAsuntos!I18/NºAsuntos!G18)*11)/factor_trimestre),((NºAsuntos!I18/NºAsuntos!G18)*11)/factor_trimestre," - ")</f>
        <v>2.7249602543720193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1218</v>
      </c>
      <c r="G19" s="966">
        <f t="shared" si="7"/>
        <v>1520</v>
      </c>
      <c r="H19" s="967">
        <f t="shared" si="7"/>
        <v>0</v>
      </c>
      <c r="I19" s="966">
        <f t="shared" si="7"/>
        <v>0</v>
      </c>
      <c r="J19" s="968">
        <f t="shared" si="7"/>
        <v>0</v>
      </c>
      <c r="K19" s="966">
        <f t="shared" si="7"/>
        <v>0</v>
      </c>
      <c r="L19" s="969">
        <f t="shared" si="7"/>
        <v>0</v>
      </c>
      <c r="M19" s="966">
        <f t="shared" si="7"/>
        <v>0</v>
      </c>
      <c r="N19" s="967">
        <f t="shared" si="7"/>
        <v>341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1273</v>
      </c>
      <c r="Z19" s="973">
        <f t="shared" si="8"/>
        <v>153</v>
      </c>
      <c r="AA19" s="974">
        <f t="shared" si="8"/>
        <v>1820</v>
      </c>
      <c r="AB19" s="974">
        <f t="shared" si="8"/>
        <v>0</v>
      </c>
      <c r="AC19" s="974">
        <f t="shared" si="8"/>
        <v>0</v>
      </c>
      <c r="AD19" s="975">
        <f t="shared" si="8"/>
        <v>0</v>
      </c>
      <c r="AE19" s="975">
        <f t="shared" si="8"/>
        <v>3566</v>
      </c>
      <c r="AF19" s="976">
        <f t="shared" si="8"/>
        <v>0</v>
      </c>
      <c r="AG19" s="977">
        <f t="shared" si="8"/>
        <v>0</v>
      </c>
      <c r="AH19" s="978">
        <f t="shared" si="8"/>
        <v>0</v>
      </c>
      <c r="AI19" s="976">
        <f t="shared" si="8"/>
        <v>0</v>
      </c>
      <c r="AJ19" s="966">
        <f t="shared" si="8"/>
        <v>551</v>
      </c>
      <c r="AK19" s="966">
        <f t="shared" si="8"/>
        <v>1135</v>
      </c>
      <c r="AL19" s="966">
        <f t="shared" si="8"/>
        <v>0</v>
      </c>
      <c r="AM19" s="979">
        <f t="shared" si="8"/>
        <v>0</v>
      </c>
      <c r="AN19" s="969">
        <f>IF(ISNUMBER(Datos!K19/Datos!J19),Datos!K19/Datos!J19," - ")</f>
        <v>0.85108481262327418</v>
      </c>
      <c r="AO19" s="969">
        <f>IF(ISNUMBER(FIND("06",Criterios!A8,1)),(IF(ISNUMBER(((Datos!R19/Datos!Q19)*11)/factor_trimestre),((Datos!R19/Datos!Q19)*11)/factor_trimestre," - ")),(IF(ISNUMBER(((Datos!L19/Datos!K19)*11)/factor_trimestre),((Datos!L19/Datos!K19)*11)/factor_trimestre," - ")))</f>
        <v>3.5720355349555812</v>
      </c>
      <c r="AP19" s="980" t="str">
        <f>IF(ISNUMBER(Datos!CI19/Datos!CJ19),Datos!CI19/Datos!CJ19," - ")</f>
        <v xml:space="preserve"> - </v>
      </c>
      <c r="AQ19" s="980">
        <f>IF(OR(ISNUMBER(FIND("01",Criterios!A8,1)),ISNUMBER(FIND("02",Criterios!A8,1)),ISNUMBER(FIND("03",Criterios!A8,1)),ISNUMBER(FIND("04",Criterios!A8,1))),(J19-Y19+K19)/(F19-K19),(I19-Y19+K19)/(F19-K19))</f>
        <v>-1.0451559934318555</v>
      </c>
      <c r="AR19" s="980">
        <f>IF(ISNUMBER((Datos!P19-Datos!Q19+O19)/(Datos!R19-Datos!P19+Datos!Q19-O19)),(Datos!P19-Datos!Q19+O19)/(Datos!R19-Datos!P19+Datos!Q19-O19)," - ")</f>
        <v>5.5654233274126705E-2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610.83658480262409</v>
      </c>
      <c r="G21" s="600">
        <f>IF(ISNUMBER(STDEV(G8:G18)),STDEV(G8:G18),"-")</f>
        <v>699.46265089710118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138.86348212063052</v>
      </c>
      <c r="AK21" s="256"/>
      <c r="AL21" s="256">
        <f>IF(ISNUMBER(STDEV(AL8:AL18)),STDEV(AL8:AL18),"-")</f>
        <v>0</v>
      </c>
      <c r="AM21" s="258">
        <f>IF(ISNUMBER(STDEV(AM8:AM18)),STDEV(AM8:AM18),"-")</f>
        <v>0</v>
      </c>
      <c r="AN21" s="586">
        <f>IF(ISNUMBER(STDEV(AN8:AN18)),STDEV(AN8:AN18),"-")</f>
        <v>0</v>
      </c>
      <c r="AO21" s="587">
        <f>IF(ISNUMBER(STDEV(AO8:AO18)),STDEV(AO8:AO18),"-")</f>
        <v>4.6424439710802856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WYQ63PazD9zqmMR9AtRFtc2hjmTY3LmBctFWaKW2W5g4k2HMzC4o9igtEp9uiKkUm90oS2bxJd3TLDvAascRzw==" saltValue="cX2O4NaVwfiAmnZRxyLM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DezNDoHYoPDQby0NTKHyP/klfO8IsYPXSTheUwjOWuHvT2BTSuFdOH5TMiWCEcpXLO9qnT3e8/uXqAOJASSA==" saltValue="arUwf6aFni3ROWpVbw13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IYwir9apGGe9kg0C40KSrlONq7gTpndQFgN9kTHsSykTAEVU3Ewcxsk171i8wjwnv8x6/TUlj1qyE8aTA+h4A==" saltValue="NBvxa6UTuh0LhqN9UIfy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CACERES  Resumenes por Partidos Judiciales  CACERES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0.23727647867950483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0.16777980709034312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Kr3is5pbJgvt6XdFAM24DyPGQny15f5IiX301EDjq80p1ubk04s/M/J2CrwUn6rRBo0ZhKgYC9GDl2Qc6igwg==" saltValue="fAhZmN2iLLZZ8/Icn6czg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KuP+ZVC3HomInLVJOd21xJ74paP0nkgi8gkXZSOusv/sRnyK4bMnCrNJ86hbo4Yb8I9JDCdtCCkLGSw/mkChw==" saltValue="tAPlvq7PRpIgLl/OAXXX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CACERES</v>
      </c>
      <c r="D3" s="399"/>
      <c r="E3" s="399"/>
      <c r="F3" s="399"/>
    </row>
    <row r="4" spans="1:14" ht="13.5" thickBot="1">
      <c r="A4" s="399"/>
      <c r="B4" s="402" t="str">
        <f>Criterios!A11 &amp;"  "&amp;Criterios!B11</f>
        <v>Resumenes por Partidos Judiciales  CACERES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3005</v>
      </c>
      <c r="D9" s="415" t="str">
        <f>IF(ISNUMBER(C9/Datos!BH9),C9/Datos!BH9," - ")</f>
        <v xml:space="preserve"> - </v>
      </c>
      <c r="E9" s="414">
        <f>IF(ISNUMBER(IF(J_V="SI",Datos!J9,Datos!J9+Datos!Z9)),IF(J_V="SI",Datos!J9,Datos!J9+Datos!Z9)," - ")</f>
        <v>1474</v>
      </c>
      <c r="F9" s="415">
        <f>IF(ISNUMBER(E9/B9),E9/B9," - ")</f>
        <v>294.8</v>
      </c>
      <c r="G9" s="414">
        <f>IF(ISNUMBER(IF(J_V="SI",Datos!K9,Datos!K9+Datos!AA9)),IF(J_V="SI",Datos!K9,Datos!K9+Datos!AA9)," - ")</f>
        <v>1439</v>
      </c>
      <c r="H9" s="415">
        <f>IF(ISNUMBER(G9/B9),G9/B9," - ")</f>
        <v>287.8</v>
      </c>
      <c r="I9" s="414">
        <f>IF(ISNUMBER(IF(J_V="SI",Datos!L9,Datos!L9+Datos!AB9)),IF(J_V="SI",Datos!L9,Datos!L9+Datos!AB9)," - ")</f>
        <v>3040</v>
      </c>
      <c r="J9" s="415">
        <f>IF(ISNUMBER(I9/B9),I9/B9," - ")</f>
        <v>608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80</v>
      </c>
      <c r="D10" s="415">
        <f>IF(ISNUMBER(C10/Datos!BH10),C10/Datos!BH10," - ")</f>
        <v>40</v>
      </c>
      <c r="E10" s="414">
        <f>IF(ISNUMBER(Datos!J10),Datos!J10," - ")</f>
        <v>41</v>
      </c>
      <c r="F10" s="415">
        <f>IF(ISNUMBER(E10/B10),E10/B10," - ")</f>
        <v>20.5</v>
      </c>
      <c r="G10" s="414">
        <f>IF(ISNUMBER(Datos!K10),Datos!K10," - ")</f>
        <v>15</v>
      </c>
      <c r="H10" s="415">
        <f>IF(ISNUMBER(G10/B10),G10/B10," - ")</f>
        <v>7.5</v>
      </c>
      <c r="I10" s="414">
        <f>IF(ISNUMBER(Datos!L10),Datos!L10," - ")</f>
        <v>106</v>
      </c>
      <c r="J10" s="415">
        <f>IF(ISNUMBER(I10/B10),I10/B10," - ")</f>
        <v>53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3085</v>
      </c>
      <c r="D13" s="996" t="str">
        <f>IF(ISNUMBER(C13/Datos!BI13),C13/Datos!BI13," - ")</f>
        <v xml:space="preserve"> - </v>
      </c>
      <c r="E13" s="995">
        <f>SUBTOTAL(9,E8:E12)</f>
        <v>1515</v>
      </c>
      <c r="F13" s="996">
        <f>IF(ISNUMBER(E13/B13),E13/B13," - ")</f>
        <v>252.5</v>
      </c>
      <c r="G13" s="995">
        <f>SUBTOTAL(9,G8:G12)</f>
        <v>1454</v>
      </c>
      <c r="H13" s="996">
        <f>IF(ISNUMBER(G13/B13),G13/B13," - ")</f>
        <v>242.33333333333334</v>
      </c>
      <c r="I13" s="995">
        <f>SUBTOTAL(9,I8:I12)</f>
        <v>3146</v>
      </c>
      <c r="J13" s="996">
        <f>IF(ISNUMBER(I13/B13),I13/B13," - ")</f>
        <v>524.33333333333337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1304</v>
      </c>
      <c r="D15" s="415" t="str">
        <f>IF(ISNUMBER(C15/Datos!BH15),C15/Datos!BH15," - ")</f>
        <v xml:space="preserve"> - </v>
      </c>
      <c r="E15" s="414">
        <f>IF(ISNUMBER(IF(D_I="SI",Datos!J15,Datos!J15+Datos!AD15)),IF(D_I="SI",Datos!J15,Datos!J15+Datos!AD15)," - ")</f>
        <v>1184</v>
      </c>
      <c r="F15" s="415">
        <f>IF(ISNUMBER(E15/B15),E15/B15," - ")</f>
        <v>394.66666666666669</v>
      </c>
      <c r="G15" s="414">
        <f>IF(ISNUMBER(IF(D_I="SI",Datos!K15,Datos!K15+Datos!AE15)),IF(D_I="SI",Datos!K15,Datos!K15+Datos!AE15)," - ")</f>
        <v>818</v>
      </c>
      <c r="H15" s="415">
        <f>IF(ISNUMBER(G15/B15),G15/B15," - ")</f>
        <v>272.66666666666669</v>
      </c>
      <c r="I15" s="414">
        <f>IF(ISNUMBER(IF(D_I="SI",Datos!L15,Datos!L15+Datos!AF15)),IF(D_I="SI",Datos!L15,Datos!L15+Datos!AF15)," - ")</f>
        <v>1504</v>
      </c>
      <c r="J15" s="415">
        <f>IF(ISNUMBER(I15/B15),I15/B15," - ")</f>
        <v>501.33333333333331</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136</v>
      </c>
      <c r="D17" s="415">
        <f>IF(ISNUMBER(C17/Datos!BH17),C17/Datos!BH17," - ")</f>
        <v>68</v>
      </c>
      <c r="E17" s="414">
        <f>IF(ISNUMBER(IF(D_I="SI",Datos!J17,Datos!J17+Datos!AD17)),IF(D_I="SI",Datos!J17,Datos!J17+Datos!AD17)," - ")</f>
        <v>514</v>
      </c>
      <c r="F17" s="415">
        <f>IF(ISNUMBER(E17/B17),E17/B17," - ")</f>
        <v>257</v>
      </c>
      <c r="G17" s="414">
        <f>IF(ISNUMBER(IF(D_I="SI",Datos!K17,Datos!K17+Datos!AE17)),IF(D_I="SI",Datos!K17,Datos!K17+Datos!AE17)," - ")</f>
        <v>440</v>
      </c>
      <c r="H17" s="415">
        <f>IF(ISNUMBER(G17/B17),G17/B17," - ")</f>
        <v>220</v>
      </c>
      <c r="I17" s="414">
        <f>IF(ISNUMBER(IF(D_I="SI",Datos!L17,Datos!L17+Datos!AF17)),IF(D_I="SI",Datos!L17,Datos!L17+Datos!AF17)," - ")</f>
        <v>210</v>
      </c>
      <c r="J17" s="415">
        <f>IF(ISNUMBER(I17/B17),I17/B17," - ")</f>
        <v>105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1440</v>
      </c>
      <c r="D18" s="996" t="str">
        <f>IF(ISNUMBER(C18/Datos!BI18),C18/Datos!BI18," - ")</f>
        <v xml:space="preserve"> - </v>
      </c>
      <c r="E18" s="995">
        <f>SUBTOTAL(9,E14:E17)</f>
        <v>1698</v>
      </c>
      <c r="F18" s="996">
        <f>IF(ISNUMBER(E18/B18),E18/B18," - ")</f>
        <v>424.5</v>
      </c>
      <c r="G18" s="995">
        <f>SUBTOTAL(9,G14:G17)</f>
        <v>1258</v>
      </c>
      <c r="H18" s="996">
        <f>IF(ISNUMBER(G18/B18),G18/B18," - ")</f>
        <v>314.5</v>
      </c>
      <c r="I18" s="995">
        <f>SUBTOTAL(9,I14:I17)</f>
        <v>1714</v>
      </c>
      <c r="J18" s="996">
        <f>IF(ISNUMBER(I18/B18),I18/B18," - ")</f>
        <v>428.5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4525</v>
      </c>
      <c r="D19" s="941" t="str">
        <f>IF(ISNUMBER(C19/Datos!BI19),C19/Datos!BI19," - ")</f>
        <v xml:space="preserve"> - </v>
      </c>
      <c r="E19" s="940">
        <f>SUBTOTAL(9,E9:E18)</f>
        <v>3213</v>
      </c>
      <c r="F19" s="941">
        <f>IF(ISNUMBER(E19/B19),E19/B19," - ")</f>
        <v>357</v>
      </c>
      <c r="G19" s="940">
        <f>SUBTOTAL(9,G9:G18)</f>
        <v>2712</v>
      </c>
      <c r="H19" s="941">
        <f>IF(ISNUMBER(G19/B19),G19/B19," - ")</f>
        <v>301.33333333333331</v>
      </c>
      <c r="I19" s="940">
        <f>SUBTOTAL(9,I9:I18)</f>
        <v>4860</v>
      </c>
      <c r="J19" s="941">
        <f>IF(ISNUMBER(I19/B19),I19/B19," - ")</f>
        <v>540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KtXywi89JvVtc90wc+8qfX4xiG46fKaaZUAGCtdR+QAZtns4qgfSROEyBJZ/ekJE2qm/fds0ZDS9T6rILdoGA==" saltValue="27/pDRhVJf8UZnTcV6DA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CACERES  Resumenes por Partidos Judiciales  CACERES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80</v>
      </c>
      <c r="G10" s="802">
        <f>IF(ISNUMBER(Datos!I10),Datos!I10," - ")</f>
        <v>80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15</v>
      </c>
      <c r="AC10" s="801" t="str">
        <f>IF(ISNUMBER(IF(D_I="SI",DatosP!K17,DatosP!K17+DatosP!AE17)),IF(D_I="SI",DatosP!K17,DatosP!K17+DatosP!AE17)," - ")</f>
        <v xml:space="preserve"> - </v>
      </c>
      <c r="AD10" s="803"/>
      <c r="AE10" s="803"/>
      <c r="AF10" s="806">
        <f>IF(ISNUMBER(Datos!L10),Datos!L10,"-")</f>
        <v>106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14.133333333333333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80</v>
      </c>
      <c r="G13" s="1084">
        <f t="shared" si="0"/>
        <v>80</v>
      </c>
      <c r="H13" s="1084">
        <f t="shared" si="0"/>
        <v>0</v>
      </c>
      <c r="I13" s="1086">
        <f t="shared" si="0"/>
        <v>0</v>
      </c>
      <c r="J13" s="1085">
        <f t="shared" si="0"/>
        <v>0</v>
      </c>
      <c r="K13" s="1085">
        <f t="shared" si="0"/>
        <v>0</v>
      </c>
      <c r="L13" s="1087">
        <f t="shared" si="0"/>
        <v>0</v>
      </c>
      <c r="M13" s="1087">
        <f t="shared" si="0"/>
        <v>0</v>
      </c>
      <c r="N13" s="1085">
        <f t="shared" si="0"/>
        <v>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15</v>
      </c>
      <c r="AC13" s="1085">
        <f t="shared" si="1"/>
        <v>0</v>
      </c>
      <c r="AD13" s="1085">
        <f t="shared" si="1"/>
        <v>0</v>
      </c>
      <c r="AE13" s="1085">
        <f t="shared" si="1"/>
        <v>0</v>
      </c>
      <c r="AF13" s="1085">
        <f t="shared" si="1"/>
        <v>106</v>
      </c>
      <c r="AG13" s="1085">
        <f t="shared" si="1"/>
        <v>0</v>
      </c>
      <c r="AH13" s="1085">
        <f t="shared" si="1"/>
        <v>0</v>
      </c>
      <c r="AI13" s="1085">
        <f t="shared" si="1"/>
        <v>0</v>
      </c>
      <c r="AJ13" s="1085">
        <f t="shared" si="1"/>
        <v>0</v>
      </c>
      <c r="AK13" s="1085">
        <f t="shared" si="1"/>
        <v>0</v>
      </c>
      <c r="AL13" s="1085">
        <f t="shared" si="1"/>
        <v>5</v>
      </c>
      <c r="AM13" s="1085">
        <f t="shared" si="1"/>
        <v>0</v>
      </c>
      <c r="AN13" s="1085">
        <f t="shared" si="1"/>
        <v>0</v>
      </c>
      <c r="AO13" s="1085">
        <f t="shared" si="1"/>
        <v>0</v>
      </c>
      <c r="AP13" s="1090">
        <f>IF(ISNUMBER(((Datos!L13/Datos!K13)*11)/factor_trimestre),((Datos!L13/Datos!K13)*11)/factor_trimestre," - ")</f>
        <v>4.3726521412471824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-0.1875</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2.7249602543720193</v>
      </c>
      <c r="AQ18" s="1090">
        <f>IF(ISNUMBER(((Datos!M18/Datos!L18)*11)/factor_trimestre),((Datos!M18/Datos!L18)*11)/factor_trimestre," - ")</f>
        <v>0.24037339556592763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-0.17424242424242425</v>
      </c>
      <c r="AW18" s="1092">
        <f>IF(ISNUMBER((Datos!Q18-Datos!R18)/(Datos!S18-Datos!Q18+Datos!R18)),(Datos!Q18-Datos!R18)/(Datos!S18-Datos!Q18+Datos!R18)," - ")</f>
        <v>-0.30681818181818182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80</v>
      </c>
      <c r="G19" s="1097">
        <f t="shared" si="4"/>
        <v>80</v>
      </c>
      <c r="H19" s="1097">
        <f t="shared" si="4"/>
        <v>0</v>
      </c>
      <c r="I19" s="1098">
        <f t="shared" si="4"/>
        <v>0</v>
      </c>
      <c r="J19" s="1099">
        <f t="shared" si="4"/>
        <v>0</v>
      </c>
      <c r="K19" s="1099">
        <f t="shared" si="4"/>
        <v>0</v>
      </c>
      <c r="L19" s="1099">
        <f t="shared" si="4"/>
        <v>0</v>
      </c>
      <c r="M19" s="1099">
        <f t="shared" si="4"/>
        <v>0</v>
      </c>
      <c r="N19" s="1098">
        <f t="shared" si="4"/>
        <v>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15</v>
      </c>
      <c r="AC19" s="1103">
        <f t="shared" si="5"/>
        <v>0</v>
      </c>
      <c r="AD19" s="1103">
        <f t="shared" si="5"/>
        <v>0</v>
      </c>
      <c r="AE19" s="1103">
        <f t="shared" si="5"/>
        <v>0</v>
      </c>
      <c r="AF19" s="1104">
        <f t="shared" si="5"/>
        <v>106</v>
      </c>
      <c r="AG19" s="1104">
        <f t="shared" si="5"/>
        <v>0</v>
      </c>
      <c r="AH19" s="1104">
        <f t="shared" si="5"/>
        <v>0</v>
      </c>
      <c r="AI19" s="1104">
        <f t="shared" si="5"/>
        <v>0</v>
      </c>
      <c r="AJ19" s="1105">
        <f t="shared" si="5"/>
        <v>0</v>
      </c>
      <c r="AK19" s="1105">
        <f t="shared" si="5"/>
        <v>0</v>
      </c>
      <c r="AL19" s="1097">
        <f t="shared" si="5"/>
        <v>5</v>
      </c>
      <c r="AM19" s="1097">
        <f t="shared" si="5"/>
        <v>0</v>
      </c>
      <c r="AN19" s="1097">
        <f t="shared" si="5"/>
        <v>0</v>
      </c>
      <c r="AO19" s="1097">
        <f t="shared" si="5"/>
        <v>0</v>
      </c>
      <c r="AP19" s="1097">
        <f>IF(ISNUMBER(((Datos!L19/Datos!K19)*11)/factor_trimestre),((Datos!L19/Datos!K19)*11)/factor_trimestre," - ")</f>
        <v>3.5720355349555812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5.5654233274126705E-2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53.333333333333336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46.188021535170058</v>
      </c>
      <c r="G21" s="870">
        <f>IF(ISNUMBER(STDEV(G8:G18)),STDEV(G8:G18),"-")</f>
        <v>46.188021535170058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8.6602540378443873</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6.166262538961341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mTyPRB1Ua5/J2AGhj1BmL5SJWZ7D+i+b9+Iaf6/o1xgPSvLUwG4p+t49O2ctVZr2U6CAvg9ayhw9j1UeGD1tQ==" saltValue="a4k+/C+gcDx3Qf68iTv3w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CACERES</v>
      </c>
      <c r="C3" s="426"/>
      <c r="F3" s="399"/>
      <c r="G3" s="399"/>
      <c r="H3" s="399"/>
    </row>
    <row r="4" spans="1:15" ht="13.5" thickBot="1">
      <c r="A4" s="399"/>
      <c r="B4" s="402" t="str">
        <f>Criterios!A11 &amp;"  "&amp;Criterios!B11</f>
        <v>Resumenes por Partidos Judiciales  CACERES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f>IF(ISNUMBER(E12/Datos!BH12),E12/Datos!BH12," - ")</f>
        <v>0</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f>IF(ISNUMBER(E16/Datos!BH16),E16/Datos!BH16," - ")</f>
        <v>0</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zLjNilT6rgw9SvzeXDoVkLi4qT74Xw5iLbet2Nqzg8Myl7Rd4nrxO+m4ueOPGpXPovY4u5rxGBg/BCs9MewIHw==" saltValue="hCg8sf36xcCxZnpqkPvC1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CACERES</v>
      </c>
      <c r="C3" s="438"/>
      <c r="D3" s="439"/>
    </row>
    <row r="4" spans="1:9" ht="13.5" thickBot="1">
      <c r="B4" s="440" t="str">
        <f>Criterios!A11 &amp;"  "&amp;Criterios!B11</f>
        <v>Resumenes por Partidos Judiciales  CACERES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340</v>
      </c>
      <c r="E9" s="415">
        <f t="shared" ref="E9:E13" si="0">IF(ISNUMBER(D9/B9),D9/B9," - ")</f>
        <v>68</v>
      </c>
      <c r="F9" s="414">
        <f>IF(ISNUMBER(Datos!N9),Datos!N9," - ")</f>
        <v>492</v>
      </c>
      <c r="G9" s="415">
        <f t="shared" ref="G9:G13" si="1">IF(ISNUMBER(F9/B9),F9/B9," - ")</f>
        <v>98.4</v>
      </c>
      <c r="H9" s="414">
        <f>IF(ISNUMBER(Datos!O9),Datos!O9," - ")</f>
        <v>557</v>
      </c>
      <c r="I9" s="415">
        <f>IF(ISNUMBER(H9/B9),H9/B9," - ")</f>
        <v>111.4</v>
      </c>
    </row>
    <row r="10" spans="1:9">
      <c r="A10" s="413" t="str">
        <f>Datos!A10</f>
        <v>Jdos. Violencia contra la mujer</v>
      </c>
      <c r="B10" s="443">
        <f>Datos!AO10</f>
        <v>2</v>
      </c>
      <c r="C10" s="421">
        <f>Datos!AQ10</f>
        <v>1</v>
      </c>
      <c r="D10" s="414">
        <f>IF(ISNUMBER(Datos!M10),Datos!M10," - ")</f>
        <v>5</v>
      </c>
      <c r="E10" s="415">
        <f>IF(ISNUMBER(D10/B10),D10/B10," - ")</f>
        <v>2.5</v>
      </c>
      <c r="F10" s="414">
        <f>IF(ISNUMBER(Datos!N10),Datos!N10," - ")</f>
        <v>0</v>
      </c>
      <c r="G10" s="415">
        <f>IF(ISNUMBER(F10/B10),F10/B10," - ")</f>
        <v>0</v>
      </c>
      <c r="H10" s="414">
        <f>IF(ISNUMBER(Datos!O10),Datos!O10," - ")</f>
        <v>3</v>
      </c>
      <c r="I10" s="415">
        <f t="shared" ref="I10:I12" si="2">IF(ISNUMBER(H10/B10),H10/B10," - ")</f>
        <v>1.5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6</v>
      </c>
      <c r="D13" s="995">
        <f>SUBTOTAL(9,D9:D12)</f>
        <v>345</v>
      </c>
      <c r="E13" s="996">
        <f t="shared" si="0"/>
        <v>49.285714285714285</v>
      </c>
      <c r="F13" s="995">
        <f>SUBTOTAL(9,F9:F12)</f>
        <v>492</v>
      </c>
      <c r="G13" s="996">
        <f t="shared" si="1"/>
        <v>70.285714285714292</v>
      </c>
      <c r="H13" s="995">
        <f>SUBTOTAL(9,H9:H12)</f>
        <v>560</v>
      </c>
      <c r="I13" s="996">
        <f>IF(ISNUMBER(H13/B13),H13/B13," - ")</f>
        <v>80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119</v>
      </c>
      <c r="E15" s="415">
        <f t="shared" ref="E15:E18" si="3">IF(ISNUMBER(D15/B15),D15/B15," - ")</f>
        <v>39.666666666666664</v>
      </c>
      <c r="F15" s="414">
        <f>IF(ISNUMBER(Datos!N15),Datos!N15," - ")</f>
        <v>460</v>
      </c>
      <c r="G15" s="415">
        <f t="shared" ref="G15:G18" si="4">IF(ISNUMBER(F15/B15),F15/B15," - ")</f>
        <v>153.33333333333334</v>
      </c>
      <c r="H15" s="414">
        <f>IF(ISNUMBER(Datos!O15),Datos!O15," - ")</f>
        <v>23</v>
      </c>
      <c r="I15" s="415">
        <f t="shared" ref="I15:I17" si="5">IF(ISNUMBER(H15/B15),H15/B15," - ")</f>
        <v>7.666666666666667</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1</v>
      </c>
      <c r="D17" s="414">
        <f>IF(ISNUMBER(Datos!M17),Datos!M17," - ")</f>
        <v>87</v>
      </c>
      <c r="E17" s="415">
        <f>IF(ISNUMBER(D17/B17),D17/B17," - ")</f>
        <v>43.5</v>
      </c>
      <c r="F17" s="414">
        <f>IF(ISNUMBER(Datos!N17),Datos!N17," - ")</f>
        <v>183</v>
      </c>
      <c r="G17" s="415">
        <f>IF(ISNUMBER(F17/B17),F17/B17," - ")</f>
        <v>91.5</v>
      </c>
      <c r="H17" s="414">
        <f>IF(ISNUMBER(Datos!O17),Datos!O17," - ")</f>
        <v>0</v>
      </c>
      <c r="I17" s="415">
        <f t="shared" si="5"/>
        <v>0</v>
      </c>
    </row>
    <row r="18" spans="1:9" ht="14.25" thickTop="1" thickBot="1">
      <c r="A18" s="994" t="str">
        <f>Datos!A18</f>
        <v>TOTAL</v>
      </c>
      <c r="B18" s="995">
        <f>Datos!AO18</f>
        <v>5</v>
      </c>
      <c r="C18" s="997">
        <f>Datos!AR18</f>
        <v>4</v>
      </c>
      <c r="D18" s="995">
        <f>SUBTOTAL(9,D15:D17)</f>
        <v>206</v>
      </c>
      <c r="E18" s="996">
        <f t="shared" si="3"/>
        <v>41.2</v>
      </c>
      <c r="F18" s="995">
        <f>SUBTOTAL(9,F15:F17)</f>
        <v>643</v>
      </c>
      <c r="G18" s="996">
        <f t="shared" si="4"/>
        <v>128.6</v>
      </c>
      <c r="H18" s="995">
        <f>SUBTOTAL(9,H15:H17)</f>
        <v>23</v>
      </c>
      <c r="I18" s="996">
        <f>IF(ISNUMBER(H18/B18),H18/B18," - ")</f>
        <v>4.5999999999999996</v>
      </c>
    </row>
    <row r="19" spans="1:9" ht="14.25" thickTop="1" thickBot="1">
      <c r="A19" s="939" t="str">
        <f>Datos!A19</f>
        <v>TOTAL JURISDICCIONES</v>
      </c>
      <c r="B19" s="940">
        <f>Datos!AP19</f>
        <v>9</v>
      </c>
      <c r="C19" s="940">
        <f>Datos!AR19</f>
        <v>9</v>
      </c>
      <c r="D19" s="940">
        <f>SUBTOTAL(9,D8:D18)</f>
        <v>551</v>
      </c>
      <c r="E19" s="941">
        <f>IF(ISNUMBER(D19/B19),D19/B19," - ")</f>
        <v>61.222222222222221</v>
      </c>
      <c r="F19" s="940">
        <f>SUBTOTAL(9,F8:F18)</f>
        <v>1135</v>
      </c>
      <c r="G19" s="941">
        <f>IF(ISNUMBER(F19/B19),F19/B19," - ")</f>
        <v>126.11111111111111</v>
      </c>
      <c r="H19" s="940">
        <f>SUBTOTAL(9,H8:H18)</f>
        <v>583</v>
      </c>
      <c r="I19" s="941">
        <f>IF(ISNUMBER(H19/B19),H19/B19," - ")</f>
        <v>64.777777777777771</v>
      </c>
    </row>
    <row r="22" spans="1:9">
      <c r="A22" s="402" t="str">
        <f>Criterios!A4</f>
        <v>Fecha Informe: 29 nov. 2023</v>
      </c>
    </row>
    <row r="27" spans="1:9">
      <c r="A27" s="425"/>
    </row>
  </sheetData>
  <sheetProtection algorithmName="SHA-512" hashValue="SjLVk7wsM9I8F1u8HgBKUqsTVaO7qdUNvWVLv7B9Kj4nh2nKdaapiYnA4wWzuBZeOHDE773v+odeG6ZkTkjfqw==" saltValue="6w/m2GgxPk28Y1A8OJNY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CACERES</v>
      </c>
    </row>
    <row r="4" spans="1:4" ht="13.5" thickBot="1">
      <c r="B4" s="402" t="str">
        <f>Criterios!A11 &amp;"  "&amp;Criterios!B11</f>
        <v>Resumenes por Partidos Judiciales  CACERES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308</v>
      </c>
      <c r="C9" s="450">
        <f>IF(ISNUMBER(Datos!Q9),Datos!Q9," - ")</f>
        <v>98</v>
      </c>
      <c r="D9" s="419">
        <f>IF(ISNUMBER(Datos!R9),Datos!R9," - ")</f>
        <v>3441</v>
      </c>
    </row>
    <row r="10" spans="1:4">
      <c r="A10" s="413" t="str">
        <f>Datos!A10</f>
        <v>Jdos. Violencia contra la mujer</v>
      </c>
      <c r="B10" s="449">
        <f>IF(ISNUMBER(Datos!P10),Datos!P10," - ")</f>
        <v>1</v>
      </c>
      <c r="C10" s="450">
        <f>IF(ISNUMBER(Datos!Q10),Datos!Q10," - ")</f>
        <v>0</v>
      </c>
      <c r="D10" s="419">
        <f>IF(ISNUMBER(Datos!R10),Datos!R10," - ")</f>
        <v>16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309</v>
      </c>
      <c r="C13" s="999">
        <f>SUBTOTAL(9,C9:C12)</f>
        <v>98</v>
      </c>
      <c r="D13" s="997">
        <f>SUBTOTAL(9,D9:D12)</f>
        <v>3457</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29</v>
      </c>
      <c r="C15" s="450">
        <f>IF(ISNUMBER(Datos!Q15),Datos!Q15," - ")</f>
        <v>45</v>
      </c>
      <c r="D15" s="419">
        <f>IF(ISNUMBER(Datos!R15),Datos!R15," - ")</f>
        <v>107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3</v>
      </c>
      <c r="C17" s="450">
        <f>IF(ISNUMBER(Datos!Q17),Datos!Q17," - ")</f>
        <v>10</v>
      </c>
      <c r="D17" s="419">
        <f>IF(ISNUMBER(Datos!R17),Datos!R17," - ")</f>
        <v>2</v>
      </c>
    </row>
    <row r="18" spans="1:4" ht="14.25" thickTop="1" thickBot="1">
      <c r="A18" s="994" t="str">
        <f>Datos!A18</f>
        <v>TOTAL</v>
      </c>
      <c r="B18" s="995">
        <f>SUBTOTAL(9,B15:B17)</f>
        <v>32</v>
      </c>
      <c r="C18" s="999">
        <f>SUBTOTAL(9,C15:C17)</f>
        <v>55</v>
      </c>
      <c r="D18" s="997">
        <f>SUBTOTAL(9,D15:D17)</f>
        <v>109</v>
      </c>
    </row>
    <row r="19" spans="1:4" ht="16.5" customHeight="1" thickTop="1" thickBot="1">
      <c r="A19" s="939" t="str">
        <f>Datos!A19</f>
        <v>TOTAL JURISDICCIONES</v>
      </c>
      <c r="B19" s="944">
        <f>SUBTOTAL(9,B8:B18)</f>
        <v>341</v>
      </c>
      <c r="C19" s="945">
        <f>SUBTOTAL(9,C8:C18)</f>
        <v>153</v>
      </c>
      <c r="D19" s="946">
        <f>SUBTOTAL(9,D8:D18)</f>
        <v>3566</v>
      </c>
    </row>
    <row r="20" spans="1:4" ht="7.5" customHeight="1"/>
    <row r="21" spans="1:4" ht="6" customHeight="1"/>
    <row r="22" spans="1:4">
      <c r="A22" s="402" t="str">
        <f>Criterios!A4</f>
        <v>Fecha Informe: 29 nov. 2023</v>
      </c>
    </row>
    <row r="27" spans="1:4">
      <c r="A27" s="425"/>
    </row>
  </sheetData>
  <sheetProtection algorithmName="SHA-512" hashValue="7Y0EdlnGkjKoi0XrvvAPD79HJDxd2f+Aty/Y2ytPi6ab0+YUmARVZnt1ZuiM/sAT9AoR9tOGic2giCxBAuB7Zg==" saltValue="ZCq9rILu/yCrzRh9kw+l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CACERES</v>
      </c>
    </row>
    <row r="4" spans="1:11" ht="10.5" customHeight="1" thickBot="1">
      <c r="B4" s="402" t="str">
        <f>Criterios!A11 &amp;"  "&amp;Criterios!B11</f>
        <v>Resumenes por Partidos Judiciales  CACERES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1.3529411764705883</v>
      </c>
      <c r="C10" s="472">
        <f>IF(ISNUMBER((Datos!J10-Datos!T10)/Datos!T10),(Datos!J10-Datos!T10)/Datos!T10," - ")</f>
        <v>0.36666666666666664</v>
      </c>
      <c r="D10" s="472">
        <f>IF(ISNUMBER((Datos!K10-Datos!U10)/Datos!U10),(Datos!K10-Datos!U10)/Datos!U10," - ")</f>
        <v>7.1428571428571425E-2</v>
      </c>
      <c r="E10" s="472">
        <f>IF(ISNUMBER((Datos!L10-Datos!V10)/Datos!V10),(Datos!L10-Datos!V10)/Datos!V10," - ")</f>
        <v>1.1200000000000001</v>
      </c>
      <c r="F10" s="472">
        <f>IF(ISNUMBER((Datos!M10-Datos!W10)/Datos!W10),(Datos!M10-Datos!W10)/Datos!W10," - ")</f>
        <v>0.66666666666666663</v>
      </c>
      <c r="G10" s="473">
        <f>IF(ISNUMBER((Datos!N10-Datos!X10)/Datos!X10),(Datos!N10-Datos!X10)/Datos!X10," - ")</f>
        <v>-1</v>
      </c>
      <c r="H10" s="471">
        <f>IF(ISNUMBER(((NºAsuntos!G10/NºAsuntos!E10)-Datos!BD10)/Datos!BD10),((NºAsuntos!G10/NºAsuntos!E10)-Datos!BD10)/Datos!BD10," - ")</f>
        <v>-0.21602787456445996</v>
      </c>
      <c r="I10" s="472">
        <f>IF(ISNUMBER(((NºAsuntos!I10/NºAsuntos!G10)-Datos!BE10)/Datos!BE10),((NºAsuntos!I10/NºAsuntos!G10)-Datos!BE10)/Datos!BE10," - ")</f>
        <v>0.97866666666666646</v>
      </c>
      <c r="J10" s="477">
        <f>IF(ISNUMBER((('Resol  Asuntos'!D10/NºAsuntos!G10)-Datos!BF10)/Datos!BF10),(('Resol  Asuntos'!D10/NºAsuntos!G10)-Datos!BF10)/Datos!BF10," - ")</f>
        <v>0.55555555555555558</v>
      </c>
      <c r="K10" s="478">
        <f>IF(ISNUMBER((((NºAsuntos!C10+NºAsuntos!E10)/NºAsuntos!G10)-Datos!BG10)/Datos!BG10),(((NºAsuntos!C10+NºAsuntos!E10)/NºAsuntos!G10)-Datos!BG10)/Datos!BG10," - ")</f>
        <v>0.76458333333333339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89.735294117647058</v>
      </c>
      <c r="C13" s="1001">
        <f>IF(ISNUMBER(
   IF(J_V="SI",(Datos!J13-Datos!T13)/Datos!T13,(Datos!J13+Datos!Z13-(Datos!T13+Datos!AH13))/(Datos!T13+Datos!AH13))
     ),IF(J_V="SI",(Datos!J13-Datos!T13)/Datos!T13,(Datos!J13+Datos!Z13-(Datos!T13+Datos!AH13))/(Datos!T13+Datos!AH13))," - ")</f>
        <v>49.5</v>
      </c>
      <c r="D13" s="1001">
        <f>IF(ISNUMBER(
   IF(J_V="SI",(Datos!K13-Datos!U13)/Datos!U13,(Datos!K13+Datos!AA13-(Datos!U13+Datos!AI13))/(Datos!U13+Datos!AI13))
     ),IF(J_V="SI",(Datos!K13-Datos!U13)/Datos!U13,(Datos!K13+Datos!AA13-(Datos!U13+Datos!AI13))/(Datos!U13+Datos!AI13))," - ")</f>
        <v>102.85714285714286</v>
      </c>
      <c r="E13" s="1001">
        <f>IF(ISNUMBER(
   IF(J_V="SI",(Datos!L13-Datos!V13)/Datos!V13,(Datos!L13+Datos!AB13-(Datos!V13+Datos!AJ13))/(Datos!V13+Datos!AJ13))
     ),IF(J_V="SI",(Datos!L13-Datos!V13)/Datos!V13,(Datos!L13+Datos!AB13-(Datos!V13+Datos!AJ13))/(Datos!V13+Datos!AJ13))," - ")</f>
        <v>61.92</v>
      </c>
      <c r="F13" s="1002">
        <f>IF(ISNUMBER((Datos!M13-Datos!W13)/Datos!W13),(Datos!M13-Datos!W13)/Datos!W13," - ")</f>
        <v>114</v>
      </c>
      <c r="G13" s="1003">
        <f>IF(ISNUMBER((Datos!N13-Datos!X13)/Datos!X13),(Datos!N13-Datos!X13)/Datos!X13," - ")</f>
        <v>60.5</v>
      </c>
      <c r="H13" s="1003">
        <f>IF(ISNUMBER(((NºAsuntos!G13/NºAsuntos!E13)-Datos!BD13)/Datos!BD13),((NºAsuntos!G13/NºAsuntos!E13)-Datos!BD13)/Datos!BD13," - ")</f>
        <v>1.0565770862800565</v>
      </c>
      <c r="I13" s="1003">
        <f>IF(ISNUMBER(((NºAsuntos!I13/NºAsuntos!G13)-Datos!BE13)/Datos!BE13),((NºAsuntos!I13/NºAsuntos!G13)-Datos!BE13)/Datos!BE13," - ")</f>
        <v>-0.3941678129298487</v>
      </c>
      <c r="J13" s="1003">
        <f>IF(ISNUMBER((('Resol  Asuntos'!D13/NºAsuntos!G13)-Datos!BF13)/Datos!BF13),(('Resol  Asuntos'!D13/NºAsuntos!G13)-Datos!BF13)/Datos!BF13," - ")</f>
        <v>0.10729023383768925</v>
      </c>
      <c r="K13" s="1003">
        <f>IF(ISNUMBER((((NºAsuntos!C13+NºAsuntos!E13)/NºAsuntos!G13)-Datos!BG13)/Datos!BG13),(((NºAsuntos!C13+NºAsuntos!E13)/NºAsuntos!G13)-Datos!BG13)/Datos!BG13," - ")</f>
        <v>-0.30794360385144426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0.11475409836065574</v>
      </c>
      <c r="C17" s="472">
        <f>IF(ISNUMBER(
   IF(D_I="SI",(Datos!J17-Datos!T17)/Datos!T17,(Datos!J17+Datos!AD17-(Datos!T17+Datos!AL17))/(Datos!T17+Datos!AL17))
     ),IF(D_I="SI",(Datos!J17-Datos!T17)/Datos!T17,(Datos!J17+Datos!AD17-(Datos!T17+Datos!AL17))/(Datos!T17+Datos!AL17))," - ")</f>
        <v>1.8241758241758241</v>
      </c>
      <c r="D17" s="472">
        <f>IF(ISNUMBER(
   IF(D_I="SI",(Datos!K17-Datos!U17)/Datos!U17,(Datos!K17+Datos!AE17-(Datos!U17+Datos!AM17))/(Datos!U17+Datos!AM17))
     ),IF(D_I="SI",(Datos!K17-Datos!U17)/Datos!U17,(Datos!K17+Datos!AE17-(Datos!U17+Datos!AM17))/(Datos!U17+Datos!AM17))," - ")</f>
        <v>1.6829268292682926</v>
      </c>
      <c r="E17" s="472">
        <f>IF(ISNUMBER(
   IF(D_I="SI",(Datos!L17-Datos!V17)/Datos!V17,(Datos!L17+Datos!AF17-(Datos!V17+Datos!AN17))/(Datos!V17+Datos!AN17))
     ),IF(D_I="SI",(Datos!L17-Datos!V17)/Datos!V17,(Datos!L17+Datos!AF17-(Datos!V17+Datos!AN17))/(Datos!V17+Datos!AN17))," - ")</f>
        <v>0.62790697674418605</v>
      </c>
      <c r="F17" s="472">
        <f>IF(ISNUMBER((Datos!M17-Datos!W17)/Datos!W17),(Datos!M17-Datos!W17)/Datos!W17," - ")</f>
        <v>3.1428571428571428</v>
      </c>
      <c r="G17" s="473">
        <f>IF(ISNUMBER((Datos!N17-Datos!X17)/Datos!X17),(Datos!N17-Datos!X17)/Datos!X17," - ")</f>
        <v>1.5068493150684932</v>
      </c>
      <c r="H17" s="471">
        <f>IF(ISNUMBER(((NºAsuntos!G17/NºAsuntos!E17)-Datos!BD17)/Datos!BD17),((NºAsuntos!G17/NºAsuntos!E17)-Datos!BD17)/Datos!BD17," - ")</f>
        <v>-5.0014235550915886E-2</v>
      </c>
      <c r="I17" s="472">
        <f>IF(ISNUMBER(((NºAsuntos!I17/NºAsuntos!G17)-Datos!BE17)/Datos!BE17),((NºAsuntos!I17/NºAsuntos!G17)-Datos!BE17)/Datos!BE17," - ")</f>
        <v>-0.39323467230443976</v>
      </c>
      <c r="J17" s="477">
        <f>IF(ISNUMBER((('Resol  Asuntos'!D17/NºAsuntos!G17)-Datos!BF17)/Datos!BF17),(('Resol  Asuntos'!D17/NºAsuntos!G17)-Datos!BF17)/Datos!BF17," - ")</f>
        <v>0.54415584415584406</v>
      </c>
      <c r="K17" s="478">
        <f>IF(ISNUMBER((((NºAsuntos!C17+NºAsuntos!E17)/NºAsuntos!G17)-Datos!BG17)/Datos!BG17),(((NºAsuntos!C17+NºAsuntos!E17)/NºAsuntos!G17)-Datos!BG17)/Datos!BG17," - ")</f>
        <v>-0.20305023923444979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10.803278688524591</v>
      </c>
      <c r="C18" s="1001">
        <f>IF(ISNUMBER(
   IF(Criterios!B14="SI",(Datos!J18-Datos!T18)/Datos!T18,(Datos!J18+Datos!AD18-(Datos!T18+Datos!AL18))/(Datos!T18+Datos!AL18))
     ),IF(Criterios!B14="SI",(Datos!J18-Datos!T18)/Datos!T18,(Datos!J18+Datos!AD18-(Datos!T18+Datos!AL18))/(Datos!T18+Datos!AL18))," - ")</f>
        <v>8.3296703296703303</v>
      </c>
      <c r="D18" s="1001">
        <f>IF(ISNUMBER(
   IF(Criterios!B14="SI",(Datos!K18-Datos!U18)/Datos!U18,(Datos!K18+Datos!AE18-(Datos!U18+Datos!AM18))/(Datos!U18+Datos!AM18))
     ),IF(Criterios!B14="SI",(Datos!K18-Datos!U18)/Datos!U18,(Datos!K18+Datos!AE18-(Datos!U18+Datos!AM18))/(Datos!U18+Datos!AM18))," - ")</f>
        <v>6.6707317073170733</v>
      </c>
      <c r="E18" s="1001">
        <f>IF(ISNUMBER(
   IF(Criterios!B14="SI",(Datos!L18-Datos!V18)/Datos!V18,(Datos!L18+Datos!AF18-(Datos!V18+Datos!AN18))/(Datos!V18+Datos!AN18))
     ),IF(Criterios!B14="SI",(Datos!L18-Datos!V18)/Datos!V18,(Datos!L18+Datos!AF18-(Datos!V18+Datos!AN18))/(Datos!V18+Datos!AN18))," - ")</f>
        <v>12.286821705426357</v>
      </c>
      <c r="F18" s="1002">
        <f>IF(ISNUMBER((Datos!M18-Datos!W18)/Datos!W18),(Datos!M18-Datos!W18)/Datos!W18," - ")</f>
        <v>8.8095238095238102</v>
      </c>
      <c r="G18" s="1003">
        <f>IF(ISNUMBER((Datos!N18-Datos!X18)/Datos!X18),(Datos!N18-Datos!X18)/Datos!X18," - ")</f>
        <v>7.8082191780821919</v>
      </c>
      <c r="H18" s="1003">
        <f>IF(ISNUMBER(((NºAsuntos!G18/NºAsuntos!E18)-Datos!BD18)/Datos!BD18),((NºAsuntos!G18/NºAsuntos!E18)-Datos!BD18)/Datos!BD18," - ")</f>
        <v>-0.1778132092274986</v>
      </c>
      <c r="I18" s="1003">
        <f>IF(ISNUMBER(((NºAsuntos!I18/NºAsuntos!G18)-Datos!BE18)/Datos!BE18),((NºAsuntos!I18/NºAsuntos!G18)-Datos!BE18)/Datos!BE18," - ")</f>
        <v>0.7321452779729114</v>
      </c>
      <c r="J18" s="1003">
        <f>IF(ISNUMBER((('Resol  Asuntos'!D18/NºAsuntos!G18)-Datos!BF18)/Datos!BF18),(('Resol  Asuntos'!D18/NºAsuntos!G18)-Datos!BF18)/Datos!BF18," - ")</f>
        <v>0.27882504353092596</v>
      </c>
      <c r="K18" s="1003">
        <f>IF(ISNUMBER((((NºAsuntos!C18+NºAsuntos!E18)/NºAsuntos!G18)-Datos!BG18)/Datos!BG18),(((NºAsuntos!C18+NºAsuntos!E18)/NºAsuntos!G18)-Datos!BG18)/Datos!BG18," - ")</f>
        <v>0.34568236967617766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28.006410256410255</v>
      </c>
      <c r="C19" s="948">
        <f>IF(ISNUMBER(
   IF(J_V="SI",(Datos!J19-Datos!T19)/Datos!T19,(Datos!J19+Datos!Z19-(Datos!T19+Datos!AH19))/(Datos!T19+Datos!AH19))
     ),IF(J_V="SI",(Datos!J19-Datos!T19)/Datos!T19,(Datos!J19+Datos!Z19-(Datos!T19+Datos!AH19))/(Datos!T19+Datos!AH19))," - ")</f>
        <v>14.15566037735849</v>
      </c>
      <c r="D19" s="948">
        <f>IF(ISNUMBER(
   IF(J_V="SI",(Datos!K19-Datos!U19)/Datos!U19,(Datos!K19+Datos!AA19-(Datos!U19+Datos!AI19))/(Datos!U19+Datos!AI19))
     ),IF(J_V="SI",(Datos!K19-Datos!U19)/Datos!U19,(Datos!K19+Datos!AA19-(Datos!U19+Datos!AI19))/(Datos!U19+Datos!AI19))," - ")</f>
        <v>14.235955056179776</v>
      </c>
      <c r="E19" s="948">
        <f>IF(ISNUMBER(
   IF(J_V="SI",(Datos!L19-Datos!V19)/Datos!V19,(Datos!L19+Datos!AB19-(Datos!V19+Datos!AJ19))/(Datos!V19+Datos!AJ19))
     ),IF(J_V="SI",(Datos!L19-Datos!V19)/Datos!V19,(Datos!L19+Datos!AB19-(Datos!V19+Datos!AJ19))/(Datos!V19+Datos!AJ19))," - ")</f>
        <v>26.150837988826815</v>
      </c>
      <c r="F19" s="949">
        <f>IF(ISNUMBER((Datos!M19-Datos!W19)/Datos!W19),(Datos!M19-Datos!W19)/Datos!W19," - ")</f>
        <v>21.958333333333332</v>
      </c>
      <c r="G19" s="950">
        <f>IF(ISNUMBER((Datos!N19-Datos!X19)/Datos!X19),(Datos!N19-Datos!X19)/Datos!X19," - ")</f>
        <v>13.012345679012345</v>
      </c>
      <c r="H19" s="951">
        <f>IF(ISNUMBER((Tasas!B19-Datos!BD19)/Datos!BD19),(Tasas!B19-Datos!BD19)/Datos!BD19," - ")</f>
        <v>5.2979993495525114E-3</v>
      </c>
      <c r="I19" s="952">
        <f>IF(ISNUMBER((Tasas!C19-Datos!BE19)/Datos!BE19),(Tasas!C19-Datos!BE19)/Datos!BE19," - ")</f>
        <v>0.78202402729025577</v>
      </c>
      <c r="J19" s="953">
        <f>IF(ISNUMBER((Tasas!D19-Datos!BF19)/Datos!BF19),(Tasas!D19-Datos!BF19)/Datos!BF19," - ")</f>
        <v>0.50685226155358898</v>
      </c>
      <c r="K19" s="953">
        <f>IF(ISNUMBER((Tasas!E19-Datos!BG19)/Datos!BG19),(Tasas!E19-Datos!BG19)/Datos!BG19," - ")</f>
        <v>0.38010212261126053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odOP1UWnScRqJNpFSrv81tgVtf+w3L5afHglRENfLNEyc+WfQgtTc84FQd7fL0KgMvNRGofFZ6rKUV/Q4sE6g==" saltValue="OxI1QKbxPWx84sC/eXnW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CACERES</v>
      </c>
    </row>
    <row r="4" spans="1:7" ht="11.25" customHeight="1" thickBot="1">
      <c r="B4" s="402" t="str">
        <f>Criterios!A11 &amp;"  "&amp;Criterios!B11</f>
        <v>Resumenes por Partidos Judiciales  CACERES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0.97625508819538676</v>
      </c>
      <c r="C9" s="459">
        <f>IF(ISNUMBER(NºAsuntos!I9/NºAsuntos!G9),NºAsuntos!I9/NºAsuntos!G9," - ")</f>
        <v>2.1125781792911744</v>
      </c>
      <c r="D9" s="460">
        <f>IF(ISNUMBER('Resol  Asuntos'!D9/NºAsuntos!G9),'Resol  Asuntos'!D9/NºAsuntos!G9," - ")</f>
        <v>0.23627519110493397</v>
      </c>
      <c r="E9" s="461">
        <f>IF(ISNUMBER((NºAsuntos!C9+NºAsuntos!E9)/NºAsuntos!G9),(NºAsuntos!C9+NºAsuntos!E9)/NºAsuntos!G9," - ")</f>
        <v>3.1125781792911744</v>
      </c>
      <c r="G9" s="479"/>
    </row>
    <row r="10" spans="1:7">
      <c r="A10" s="413" t="str">
        <f>Datos!A10</f>
        <v>Jdos. Violencia contra la mujer</v>
      </c>
      <c r="B10" s="458">
        <f>IF(ISNUMBER(NºAsuntos!G10/NºAsuntos!E10),NºAsuntos!G10/NºAsuntos!E10," - ")</f>
        <v>0.36585365853658536</v>
      </c>
      <c r="C10" s="459">
        <f>IF(ISNUMBER(NºAsuntos!I10/NºAsuntos!G10),NºAsuntos!I10/NºAsuntos!G10," - ")</f>
        <v>7.0666666666666664</v>
      </c>
      <c r="D10" s="460">
        <f>IF(ISNUMBER('Resol  Asuntos'!D10/NºAsuntos!G10),'Resol  Asuntos'!D10/NºAsuntos!G10," - ")</f>
        <v>0.33333333333333331</v>
      </c>
      <c r="E10" s="461">
        <f>IF(ISNUMBER((NºAsuntos!C10+NºAsuntos!E10)/NºAsuntos!G10),(NºAsuntos!C10+NºAsuntos!E10)/NºAsuntos!G10," - ")</f>
        <v>8.0666666666666664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0.95973597359735974</v>
      </c>
      <c r="C13" s="1005">
        <f>IF(ISNUMBER(NºAsuntos!I13/NºAsuntos!G13),NºAsuntos!I13/NºAsuntos!G13," - ")</f>
        <v>2.1636863823933976</v>
      </c>
      <c r="D13" s="1006">
        <f>IF(ISNUMBER('Resol  Asuntos'!D13/NºAsuntos!G13),'Resol  Asuntos'!D13/NºAsuntos!G13," - ")</f>
        <v>0.23727647867950483</v>
      </c>
      <c r="E13" s="1007">
        <f>IF(ISNUMBER((NºAsuntos!C13+NºAsuntos!E13)/NºAsuntos!G13),(NºAsuntos!C13+NºAsuntos!E13)/NºAsuntos!G13," - ")</f>
        <v>3.1636863823933976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0.6908783783783784</v>
      </c>
      <c r="C15" s="459">
        <f>IF(ISNUMBER(NºAsuntos!I15/NºAsuntos!G15),NºAsuntos!I15/NºAsuntos!G15," - ")</f>
        <v>1.8386308068459658</v>
      </c>
      <c r="D15" s="460">
        <f>IF(ISNUMBER('Resol  Asuntos'!D15/NºAsuntos!G15),'Resol  Asuntos'!D15/NºAsuntos!G15," - ")</f>
        <v>0.14547677261613692</v>
      </c>
      <c r="E15" s="461">
        <f>IF(ISNUMBER((NºAsuntos!C15+NºAsuntos!E15)/NºAsuntos!G15),(NºAsuntos!C15+NºAsuntos!E15)/NºAsuntos!G15," - ")</f>
        <v>3.0415647921760391</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0.85603112840466922</v>
      </c>
      <c r="C17" s="459">
        <f>IF(ISNUMBER(NºAsuntos!I17/NºAsuntos!G17),NºAsuntos!I17/NºAsuntos!G17," - ")</f>
        <v>0.47727272727272729</v>
      </c>
      <c r="D17" s="460">
        <f>IF(ISNUMBER('Resol  Asuntos'!D17/NºAsuntos!G17),'Resol  Asuntos'!D17/NºAsuntos!G17," - ")</f>
        <v>0.19772727272727272</v>
      </c>
      <c r="E17" s="461">
        <f>IF(ISNUMBER((NºAsuntos!C17+NºAsuntos!E17)/NºAsuntos!G17),(NºAsuntos!C17+NºAsuntos!E17)/NºAsuntos!G17," - ")</f>
        <v>1.4772727272727273</v>
      </c>
      <c r="G17" s="479"/>
    </row>
    <row r="18" spans="1:7" ht="14.25" thickTop="1" thickBot="1">
      <c r="A18" s="994" t="str">
        <f>Datos!A18</f>
        <v>TOTAL</v>
      </c>
      <c r="B18" s="1004">
        <f>IF(ISNUMBER(NºAsuntos!G18/NºAsuntos!E18),NºAsuntos!G18/NºAsuntos!E18," - ")</f>
        <v>0.74087161366313314</v>
      </c>
      <c r="C18" s="1005">
        <f>IF(ISNUMBER(NºAsuntos!I18/NºAsuntos!G18),NºAsuntos!I18/NºAsuntos!G18," - ")</f>
        <v>1.3624801271860096</v>
      </c>
      <c r="D18" s="1008">
        <f>IF(ISNUMBER('Resol  Asuntos'!D18/NºAsuntos!G18),'Resol  Asuntos'!D18/NºAsuntos!G18," - ")</f>
        <v>0.16375198728139906</v>
      </c>
      <c r="E18" s="1007">
        <f>IF(ISNUMBER((NºAsuntos!C18+NºAsuntos!E18)/NºAsuntos!G18),(NºAsuntos!C18+NºAsuntos!E18)/NºAsuntos!G18," - ")</f>
        <v>2.4944356120826709</v>
      </c>
      <c r="G18" s="479"/>
    </row>
    <row r="19" spans="1:7" ht="15.75" customHeight="1" thickTop="1" thickBot="1">
      <c r="A19" s="939" t="str">
        <f>Datos!A19</f>
        <v>TOTAL JURISDICCIONES</v>
      </c>
      <c r="B19" s="954">
        <f>IF(ISNUMBER(NºAsuntos!G19/NºAsuntos!E19),NºAsuntos!G19/NºAsuntos!E19," - ")</f>
        <v>0.84407096171802054</v>
      </c>
      <c r="C19" s="955">
        <f>IF(ISNUMBER(NºAsuntos!I19/NºAsuntos!G19),NºAsuntos!I19/NºAsuntos!G19," - ")</f>
        <v>1.7920353982300885</v>
      </c>
      <c r="D19" s="956">
        <f>IF(ISNUMBER('Resol  Asuntos'!D19/NºAsuntos!G19),'Resol  Asuntos'!D19/NºAsuntos!G19," - ")</f>
        <v>0.20317109144542772</v>
      </c>
      <c r="E19" s="957">
        <f>IF(ISNUMBER((NºAsuntos!C19+NºAsuntos!E19)/NºAsuntos!G19),(NºAsuntos!C19+NºAsuntos!E19)/NºAsuntos!G19," - ")</f>
        <v>2.8532448377581119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4TFtRNYSzKdJRKTH23XfhA1FWhQ196sEa04cFV11/VJXvKRDx6tu6fMPSvGqA3rBW50PxwW5py8W/QtXRNr6w==" saltValue="zs+86lJSPTShOkIJRkQj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CACERES</v>
      </c>
      <c r="N2" s="338" t="str">
        <f>Criterios!A11 &amp;"  "&amp;Criterios!B11</f>
        <v>Resumenes por Partidos Judiciales  CACERES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308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98</v>
      </c>
      <c r="Y9" s="343">
        <f>SUM(W9:X9)</f>
        <v>98</v>
      </c>
      <c r="Z9" s="344" t="str">
        <f>IF(ISNUMBER(Datos!CC9),Datos!CC9," - ")</f>
        <v xml:space="preserve"> - </v>
      </c>
      <c r="AA9" s="341" t="str">
        <f>IF(ISNUMBER(IF(J_V="SI",Datos!L9,Datos!L9+Datos!AB9)-IF(Monitorios="SI",Datos!CD9,0)),
                          IF(J_V="SI",Datos!L9,Datos!L9+Datos!AB9)-IF(Monitorios="SI",Datos!CD9,0),
                          " - ")</f>
        <v xml:space="preserve"> - </v>
      </c>
      <c r="AB9" s="343">
        <f>IF(ISNUMBER(Datos!R9),Datos!R9," - ")</f>
        <v>3441</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340</v>
      </c>
      <c r="AJ9" s="233" t="str">
        <f>IF(ISNUMBER(Datos!BW9),Datos!BW9," - ")</f>
        <v xml:space="preserve"> - </v>
      </c>
      <c r="AK9" s="232" t="str">
        <f>IF(ISNUMBER(Datos!BX9),Datos!BX9," - ")</f>
        <v xml:space="preserve"> - </v>
      </c>
      <c r="AL9" s="247">
        <f>IF(ISNUMBER(NºAsuntos!G9/NºAsuntos!E9),NºAsuntos!G9/NºAsuntos!E9," - ")</f>
        <v>0.97625508819538676</v>
      </c>
      <c r="AM9" s="264">
        <f>IF(ISNUMBER(((NºAsuntos!I9/NºAsuntos!G9)*11)/factor_trimestre),((NºAsuntos!I9/NºAsuntos!G9)*11)/factor_trimestre," - ")</f>
        <v>4.2251563585823488</v>
      </c>
      <c r="AN9" s="248">
        <f>IF(ISNUMBER('Resol  Asuntos'!D9/NºAsuntos!G9),'Resol  Asuntos'!D9/NºAsuntos!G9," - ")</f>
        <v>0.23627519110493397</v>
      </c>
      <c r="AO9" s="249">
        <f>IF(ISNUMBER((NºAsuntos!C9+NºAsuntos!E9)/NºAsuntos!G9),(NºAsuntos!C9+NºAsuntos!E9)/NºAsuntos!G9," - ")</f>
        <v>3.1125781792911744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80</v>
      </c>
      <c r="G10" s="342">
        <f>IF(ISNUMBER(Datos!I10),Datos!I10," - ")</f>
        <v>80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15</v>
      </c>
      <c r="X10" s="230">
        <f>IF(ISNUMBER(Datos!Q10),Datos!Q10," - ")</f>
        <v>0</v>
      </c>
      <c r="Y10" s="343">
        <f t="shared" ref="Y10:Y12" si="0">SUM(W10:X10)</f>
        <v>15</v>
      </c>
      <c r="Z10" s="344" t="str">
        <f>IF(ISNUMBER(Datos!CC10),Datos!CC10," - ")</f>
        <v xml:space="preserve"> - </v>
      </c>
      <c r="AA10" s="341">
        <f>IF(ISNUMBER(Datos!L10),Datos!L10,"-")</f>
        <v>106</v>
      </c>
      <c r="AB10" s="343">
        <f>IF(ISNUMBER(Datos!R10),Datos!R10," - ")</f>
        <v>16</v>
      </c>
      <c r="AC10" s="343">
        <f t="shared" ref="AC10:AC12" si="1">IF(ISNUMBER(AA10+AB10),AA10+AB10," - ")</f>
        <v>122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0.36585365853658536</v>
      </c>
      <c r="AM10" s="264">
        <f>IF(ISNUMBER(((NºAsuntos!I10/NºAsuntos!G10)*11)/factor_trimestre),((NºAsuntos!I10/NºAsuntos!G10)*11)/factor_trimestre," - ")</f>
        <v>14.133333333333333</v>
      </c>
      <c r="AN10" s="248">
        <f>IF(ISNUMBER('Resol  Asuntos'!D10/NºAsuntos!G10),'Resol  Asuntos'!D10/NºAsuntos!G10," - ")</f>
        <v>0.33333333333333331</v>
      </c>
      <c r="AO10" s="249">
        <f>IF(ISNUMBER((NºAsuntos!C10+NºAsuntos!E10)/NºAsuntos!G10),(NºAsuntos!C10+NºAsuntos!E10)/NºAsuntos!G10," - ")</f>
        <v>8.0666666666666664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80</v>
      </c>
      <c r="G13" s="1012">
        <f t="shared" si="3"/>
        <v>80</v>
      </c>
      <c r="H13" s="1011">
        <f t="shared" si="3"/>
        <v>0</v>
      </c>
      <c r="I13" s="1013">
        <f t="shared" si="3"/>
        <v>0</v>
      </c>
      <c r="J13" s="1013">
        <f t="shared" si="3"/>
        <v>0</v>
      </c>
      <c r="K13" s="1013">
        <f t="shared" si="3"/>
        <v>0</v>
      </c>
      <c r="L13" s="1013">
        <f t="shared" si="3"/>
        <v>309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15</v>
      </c>
      <c r="X13" s="1013">
        <f t="shared" si="4"/>
        <v>98</v>
      </c>
      <c r="Y13" s="1014">
        <f t="shared" si="4"/>
        <v>113</v>
      </c>
      <c r="Z13" s="1014">
        <f t="shared" si="4"/>
        <v>0</v>
      </c>
      <c r="AA13" s="1014">
        <f t="shared" si="4"/>
        <v>106</v>
      </c>
      <c r="AB13" s="1014">
        <f t="shared" si="4"/>
        <v>3457</v>
      </c>
      <c r="AC13" s="1014">
        <f t="shared" si="4"/>
        <v>122</v>
      </c>
      <c r="AD13" s="1014">
        <f t="shared" si="4"/>
        <v>0</v>
      </c>
      <c r="AE13" s="1018">
        <f t="shared" si="4"/>
        <v>0</v>
      </c>
      <c r="AF13" s="1011">
        <f t="shared" si="4"/>
        <v>0</v>
      </c>
      <c r="AG13" s="1019">
        <f t="shared" si="4"/>
        <v>0</v>
      </c>
      <c r="AH13" s="1016">
        <f t="shared" si="4"/>
        <v>0</v>
      </c>
      <c r="AI13" s="1011">
        <f t="shared" si="4"/>
        <v>345</v>
      </c>
      <c r="AJ13" s="1013">
        <f t="shared" si="4"/>
        <v>0</v>
      </c>
      <c r="AK13" s="1016">
        <f>SUBTOTAL(9,AK9:AK12)</f>
        <v>0</v>
      </c>
      <c r="AL13" s="1020">
        <f>IF(ISNUMBER(NºAsuntos!G13/NºAsuntos!E13),NºAsuntos!G13/NºAsuntos!E13," - ")</f>
        <v>0.95973597359735974</v>
      </c>
      <c r="AM13" s="1020">
        <f>IF(ISNUMBER(((NºAsuntos!I13/NºAsuntos!G13)*11)/factor_trimestre),((NºAsuntos!I13/NºAsuntos!G13)*11)/factor_trimestre," - ")</f>
        <v>4.3273727647867952</v>
      </c>
      <c r="AN13" s="1021">
        <f>IF(ISNUMBER('Resol  Asuntos'!D13/NºAsuntos!G13),'Resol  Asuntos'!D13/NºAsuntos!G13," - ")</f>
        <v>0.23727647867950483</v>
      </c>
      <c r="AO13" s="1022">
        <f>IF(ISNUMBER((NºAsuntos!C13+NºAsuntos!E13)/NºAsuntos!G13),(NºAsuntos!C13+NºAsuntos!E13)/NºAsuntos!G13," - ")</f>
        <v>3.1636863823933976</v>
      </c>
      <c r="AP13" s="1023" t="str">
        <f t="shared" si="2"/>
        <v xml:space="preserve"> - </v>
      </c>
      <c r="AQ13" s="1023">
        <f>IF(ISNUMBER((H13-W13+K13)/(F13)),(H13-W13+K13)/(F13)," - ")</f>
        <v>-0.1875</v>
      </c>
      <c r="AR13" s="1024">
        <f>IF(ISNUMBER((Datos!P13-Datos!Q13)/(Datos!R13-Datos!P13+Datos!Q13)),(Datos!P13-Datos!Q13)/(Datos!R13-Datos!P13+Datos!Q13)," - ")</f>
        <v>6.5003080714725811E-2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1138</v>
      </c>
      <c r="G15" s="342">
        <f>IF(ISNUMBER(IF(D_I="SI",Datos!I15,Datos!I15+Datos!AC15)),IF(D_I="SI",Datos!I15,Datos!I15+Datos!AC15)," - ")</f>
        <v>1304</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29</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818</v>
      </c>
      <c r="X15" s="230">
        <f>IF(ISNUMBER(Datos!Q15),Datos!Q15," - ")</f>
        <v>45</v>
      </c>
      <c r="Y15" s="343">
        <f>SUM(W15)</f>
        <v>818</v>
      </c>
      <c r="Z15" s="344" t="str">
        <f>IF(ISNUMBER(Datos!CC15),Datos!CC15," - ")</f>
        <v xml:space="preserve"> - </v>
      </c>
      <c r="AA15" s="341">
        <f>IF(ISNUMBER(IF(D_I="SI",Datos!L15,Datos!L15+Datos!AF15)),IF(D_I="SI",Datos!L15,Datos!L15+Datos!AF15)," - ")</f>
        <v>1504</v>
      </c>
      <c r="AB15" s="343">
        <f>IF(ISNUMBER(Datos!R15),Datos!R15," - ")</f>
        <v>107</v>
      </c>
      <c r="AC15" s="343">
        <f t="shared" ref="AC15:AC17" si="6">IF(ISNUMBER(AA15+AB15),AA15+AB15," - ")</f>
        <v>1611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119</v>
      </c>
      <c r="AJ15" s="235" t="str">
        <f>IF(ISNUMBER(Datos!BW15),Datos!BW15," - ")</f>
        <v xml:space="preserve"> - </v>
      </c>
      <c r="AK15" s="236" t="str">
        <f>IF(ISNUMBER(Datos!BX15),Datos!BX15," - ")</f>
        <v xml:space="preserve"> - </v>
      </c>
      <c r="AL15" s="247">
        <f>IF(ISNUMBER(NºAsuntos!G15/NºAsuntos!E15),NºAsuntos!G15/NºAsuntos!E15," - ")</f>
        <v>0.6908783783783784</v>
      </c>
      <c r="AM15" s="264">
        <f>IF(ISNUMBER(((NºAsuntos!I15/NºAsuntos!G15)*11)/factor_trimestre),((NºAsuntos!I15/NºAsuntos!G15)*11)/factor_trimestre," - ")</f>
        <v>3.6772616136919321</v>
      </c>
      <c r="AN15" s="248">
        <f>IF(ISNUMBER('Resol  Asuntos'!D15/NºAsuntos!G15),'Resol  Asuntos'!D15/NºAsuntos!G15," - ")</f>
        <v>0.14547677261613692</v>
      </c>
      <c r="AO15" s="249">
        <f>IF(ISNUMBER((NºAsuntos!C15+NºAsuntos!E15)/NºAsuntos!G15),(NºAsuntos!C15+NºAsuntos!E15)/NºAsuntos!G15," - ")</f>
        <v>3.0415647921760391</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3</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440</v>
      </c>
      <c r="X17" s="230">
        <f>IF(ISNUMBER(Datos!Q17),Datos!Q17," - ")</f>
        <v>10</v>
      </c>
      <c r="Y17" s="343">
        <f t="shared" si="7"/>
        <v>450</v>
      </c>
      <c r="Z17" s="344" t="str">
        <f>IF(ISNUMBER(Datos!CC17),Datos!CC17," - ")</f>
        <v xml:space="preserve"> - </v>
      </c>
      <c r="AA17" s="341">
        <f>IF(ISNUMBER(Datos!L17),Datos!L17,"-")</f>
        <v>210</v>
      </c>
      <c r="AB17" s="343">
        <f>IF(ISNUMBER(Datos!R17),Datos!R17," - ")</f>
        <v>2</v>
      </c>
      <c r="AC17" s="343">
        <f t="shared" si="6"/>
        <v>212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87</v>
      </c>
      <c r="AJ17" s="235" t="str">
        <f>IF(ISNUMBER(Datos!BW17),Datos!BW17," - ")</f>
        <v xml:space="preserve"> - </v>
      </c>
      <c r="AK17" s="236" t="str">
        <f>IF(ISNUMBER(Datos!BX17),Datos!BX17," - ")</f>
        <v xml:space="preserve"> - </v>
      </c>
      <c r="AL17" s="247">
        <f>IF(ISNUMBER(NºAsuntos!G17/NºAsuntos!E17),NºAsuntos!G17/NºAsuntos!E17," - ")</f>
        <v>0.85603112840466922</v>
      </c>
      <c r="AM17" s="264">
        <f>IF(ISNUMBER(((NºAsuntos!I17/NºAsuntos!G17)*11)/factor_trimestre),((NºAsuntos!I17/NºAsuntos!G17)*11)/factor_trimestre," - ")</f>
        <v>0.95454545454545459</v>
      </c>
      <c r="AN17" s="248">
        <f>IF(ISNUMBER('Resol  Asuntos'!D17/NºAsuntos!G17),'Resol  Asuntos'!D17/NºAsuntos!G17," - ")</f>
        <v>0.19772727272727272</v>
      </c>
      <c r="AO17" s="249">
        <f>IF(ISNUMBER((NºAsuntos!C17+NºAsuntos!E17)/NºAsuntos!G17),(NºAsuntos!C17+NºAsuntos!E17)/NºAsuntos!G17," - ")</f>
        <v>1.4772727272727273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1138</v>
      </c>
      <c r="G18" s="1012">
        <f>SUBTOTAL(9,G15:G17)</f>
        <v>1440</v>
      </c>
      <c r="H18" s="1011">
        <f t="shared" ref="H18:O18" si="10">SUBTOTAL(9,H14:H17)</f>
        <v>0</v>
      </c>
      <c r="I18" s="1013">
        <f t="shared" si="10"/>
        <v>0</v>
      </c>
      <c r="J18" s="1013">
        <f t="shared" si="10"/>
        <v>0</v>
      </c>
      <c r="K18" s="1013">
        <f t="shared" si="10"/>
        <v>0</v>
      </c>
      <c r="L18" s="1013">
        <f t="shared" si="10"/>
        <v>32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1258</v>
      </c>
      <c r="X18" s="1013">
        <f t="shared" si="11"/>
        <v>55</v>
      </c>
      <c r="Y18" s="1014">
        <f t="shared" si="11"/>
        <v>1268</v>
      </c>
      <c r="Z18" s="1014">
        <f t="shared" si="11"/>
        <v>0</v>
      </c>
      <c r="AA18" s="1014">
        <f t="shared" si="11"/>
        <v>1714</v>
      </c>
      <c r="AB18" s="1014">
        <f t="shared" si="11"/>
        <v>109</v>
      </c>
      <c r="AC18" s="1014">
        <f t="shared" si="11"/>
        <v>1823</v>
      </c>
      <c r="AD18" s="1014">
        <f t="shared" si="11"/>
        <v>0</v>
      </c>
      <c r="AE18" s="1018">
        <f t="shared" si="11"/>
        <v>0</v>
      </c>
      <c r="AF18" s="1011">
        <f t="shared" si="11"/>
        <v>0</v>
      </c>
      <c r="AG18" s="1019">
        <f t="shared" si="11"/>
        <v>0</v>
      </c>
      <c r="AH18" s="1016">
        <f t="shared" si="11"/>
        <v>0</v>
      </c>
      <c r="AI18" s="1011">
        <f t="shared" si="11"/>
        <v>206</v>
      </c>
      <c r="AJ18" s="1013">
        <f t="shared" si="11"/>
        <v>0</v>
      </c>
      <c r="AK18" s="1016">
        <f t="shared" si="11"/>
        <v>0</v>
      </c>
      <c r="AL18" s="1020">
        <f>IF(ISNUMBER(NºAsuntos!G18/NºAsuntos!E18),NºAsuntos!G18/NºAsuntos!E18," - ")</f>
        <v>0.74087161366313314</v>
      </c>
      <c r="AM18" s="1020">
        <f>IF(ISNUMBER(((NºAsuntos!I18/NºAsuntos!G18)*11)/factor_trimestre),((NºAsuntos!I18/NºAsuntos!G18)*11)/factor_trimestre," - ")</f>
        <v>2.7249602543720193</v>
      </c>
      <c r="AN18" s="1021">
        <f>IF(ISNUMBER('Resol  Asuntos'!D18/NºAsuntos!G18),'Resol  Asuntos'!D18/NºAsuntos!G18," - ")</f>
        <v>0.16375198728139906</v>
      </c>
      <c r="AO18" s="1022">
        <f>IF(ISNUMBER((NºAsuntos!C18+NºAsuntos!E18)/NºAsuntos!G18),(NºAsuntos!C18+NºAsuntos!E18)/NºAsuntos!G18," - ")</f>
        <v>2.4944356120826709</v>
      </c>
      <c r="AP18" s="1023" t="str">
        <f t="shared" si="2"/>
        <v xml:space="preserve"> - </v>
      </c>
      <c r="AQ18" s="1023">
        <f>IF(ISNUMBER((H18-W18+K18)/(F18)),(H18-W18+K18)/(F18)," - ")</f>
        <v>-1.1054481546572934</v>
      </c>
      <c r="AR18" s="1024">
        <f>IF(ISNUMBER((Datos!P18-Datos!Q18)/(Datos!R18-Datos!P18+Datos!Q18)),(Datos!P18-Datos!Q18)/(Datos!R18-Datos!P18+Datos!Q18)," - ")</f>
        <v>-0.17424242424242425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1218</v>
      </c>
      <c r="G19" s="967">
        <f t="shared" si="13"/>
        <v>1520</v>
      </c>
      <c r="H19" s="966">
        <f t="shared" si="13"/>
        <v>0</v>
      </c>
      <c r="I19" s="968">
        <f t="shared" si="13"/>
        <v>0</v>
      </c>
      <c r="J19" s="968">
        <f t="shared" si="13"/>
        <v>0</v>
      </c>
      <c r="K19" s="1027">
        <f t="shared" si="13"/>
        <v>0</v>
      </c>
      <c r="L19" s="968">
        <f t="shared" si="13"/>
        <v>341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1273</v>
      </c>
      <c r="X19" s="967">
        <f t="shared" si="14"/>
        <v>153</v>
      </c>
      <c r="Y19" s="974">
        <f t="shared" si="14"/>
        <v>1381</v>
      </c>
      <c r="Z19" s="974">
        <f t="shared" si="14"/>
        <v>0</v>
      </c>
      <c r="AA19" s="974">
        <f t="shared" si="14"/>
        <v>1820</v>
      </c>
      <c r="AB19" s="974">
        <f t="shared" si="14"/>
        <v>3566</v>
      </c>
      <c r="AC19" s="974">
        <f t="shared" si="14"/>
        <v>1945</v>
      </c>
      <c r="AD19" s="974">
        <f t="shared" si="14"/>
        <v>0</v>
      </c>
      <c r="AE19" s="976">
        <f t="shared" si="14"/>
        <v>0</v>
      </c>
      <c r="AF19" s="977">
        <f t="shared" si="14"/>
        <v>0</v>
      </c>
      <c r="AG19" s="978">
        <f t="shared" si="14"/>
        <v>0</v>
      </c>
      <c r="AH19" s="976">
        <f t="shared" si="14"/>
        <v>0</v>
      </c>
      <c r="AI19" s="966">
        <f t="shared" si="14"/>
        <v>551</v>
      </c>
      <c r="AJ19" s="966">
        <f t="shared" si="14"/>
        <v>0</v>
      </c>
      <c r="AK19" s="976">
        <f t="shared" si="14"/>
        <v>0</v>
      </c>
      <c r="AL19" s="1030">
        <f>IF(ISNUMBER(NºAsuntos!G19/NºAsuntos!E19),NºAsuntos!G19/NºAsuntos!E19," - ")</f>
        <v>0.84407096171802054</v>
      </c>
      <c r="AM19" s="1031">
        <f>IF(ISNUMBER(((NºAsuntos!I19/NºAsuntos!G19)*11)/factor_trimestre),((NºAsuntos!I19/NºAsuntos!G19)*11)/factor_trimestre," - ")</f>
        <v>3.5840707964601766</v>
      </c>
      <c r="AN19" s="1031">
        <f>IF(ISNUMBER('Resol  Asuntos'!D19/NºAsuntos!G19),'Resol  Asuntos'!D19/NºAsuntos!G19," - ")</f>
        <v>0.20317109144542772</v>
      </c>
      <c r="AO19" s="1032">
        <f>IF(ISNUMBER((NºAsuntos!C19+NºAsuntos!E19)/NºAsuntos!G19),(NºAsuntos!C19+NºAsuntos!E19)/NºAsuntos!G19," - ")</f>
        <v>2.8532448377581119</v>
      </c>
      <c r="AP19" s="1033" t="str">
        <f t="shared" si="2"/>
        <v xml:space="preserve"> - </v>
      </c>
      <c r="AQ19" s="1034">
        <f>IF(OR(ISNUMBER(FIND("01",Criterios!A8,1)),ISNUMBER(FIND("02",Criterios!A8,1)),ISNUMBER(FIND("03",Criterios!A8,1)),ISNUMBER(FIND("04",Criterios!A8,1))),(I19-W19+K19)/(F19-K19),(H19-W19+K19)/(F19-K19))</f>
        <v>-1.0451559934318555</v>
      </c>
      <c r="AR19" s="1035">
        <f>IF(ISNUMBER((Datos!P19-Datos!Q19)/(Datos!R19-Datos!P19+Datos!Q19)),(Datos!P19-Datos!Q19)/(Datos!R19-Datos!P19+Datos!Q19)," - ")</f>
        <v>5.5654233274126705E-2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2.3333333333333335</v>
      </c>
      <c r="F21" s="256">
        <f>IF(ISNUMBER(STDEV(F8:F18)),STDEV(F8:F18),"-")</f>
        <v>610.83658480262409</v>
      </c>
      <c r="G21" s="257">
        <f>IF(ISNUMBER(STDEV(G8:G18)),STDEV(G8:G18),"-")</f>
        <v>699.46265089710118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536.03050286340988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138.86348212063052</v>
      </c>
      <c r="AJ21" s="256">
        <f t="shared" si="18"/>
        <v>0</v>
      </c>
      <c r="AK21" s="258">
        <f t="shared" si="18"/>
        <v>0</v>
      </c>
      <c r="AL21" s="253">
        <f t="shared" si="18"/>
        <v>0.22637643447590836</v>
      </c>
      <c r="AM21" s="254">
        <f t="shared" si="18"/>
        <v>4.6424439710802856</v>
      </c>
      <c r="AN21" s="254">
        <f t="shared" si="18"/>
        <v>6.7253409727765362E-2</v>
      </c>
      <c r="AO21" s="255">
        <f t="shared" si="18"/>
        <v>2.2982275011197242</v>
      </c>
      <c r="AP21" s="295" t="str">
        <f t="shared" si="18"/>
        <v>-</v>
      </c>
      <c r="AQ21" s="296">
        <f t="shared" si="18"/>
        <v>0.64908736493584984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rDNI7hw4XXuWOCeiKl9o4DSPjAkajZKYLtoUG6oXNGeEMAPBwNw3m45lX1wts8br757HUvrpPZw0gdQ+I1u7Ag==" saltValue="2sEM+SbZNo5aYfSaybpP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CACERES</v>
      </c>
      <c r="E3" s="267"/>
    </row>
    <row r="4" spans="2:20" ht="17.25" customHeight="1" thickBot="1">
      <c r="D4" s="266" t="str">
        <f>Criterios!A11 &amp;"  "&amp;Criterios!B11</f>
        <v>Resumenes por Partidos Judiciales  CACERES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1.3529411764705883</v>
      </c>
      <c r="E10" s="357">
        <f>IF(ISNUMBER((Datos!J10-Datos!T10)/Datos!T10),(Datos!J10-Datos!T10)/Datos!T10," - ")</f>
        <v>0.36666666666666664</v>
      </c>
      <c r="F10" s="357">
        <f>IF(ISNUMBER((Datos!K10-Datos!U10)/Datos!U10),(Datos!K10-Datos!U10)/Datos!U10," - ")</f>
        <v>7.1428571428571425E-2</v>
      </c>
      <c r="G10" s="358">
        <f>IF(ISNUMBER((Datos!L10-Datos!V10)/Datos!V10),(Datos!L10-Datos!V10)/Datos!V10," - ")</f>
        <v>1.1200000000000001</v>
      </c>
      <c r="H10" s="234">
        <f>IF(ISNUMBER((Datos!M10-Datos!W10)/Datos!W10),(Datos!M10-Datos!W10)/Datos!W10," - ")</f>
        <v>0.66666666666666663</v>
      </c>
      <c r="I10" s="359">
        <f>IF(ISNUMBER((Tasas!C10-Datos!BE10)/Datos!BE10),(Tasas!C10-Datos!BE10)/Datos!BE10," - ")</f>
        <v>0.97866666666666646</v>
      </c>
      <c r="J10" s="358">
        <f>IF(ISNUMBER((Tasas!D10-Datos!BF10)/Datos!BF10),(Tasas!D10-Datos!BF10)/Datos!BF10," - ")</f>
        <v>0.55555555555555558</v>
      </c>
      <c r="K10" s="360">
        <f>IF(ISNUMBER((Tasas!E10-Datos!BG10)/Datos!BG10),(Tasas!E10-Datos!BG10)/Datos!BG10," - ")</f>
        <v>0.76458333333333339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114</v>
      </c>
      <c r="I13" s="366">
        <f>IF(ISNUMBER((Tasas!C13-Datos!BE13)/Datos!BE13),(Tasas!C13-Datos!BE13)/Datos!BE13," - ")</f>
        <v>-0.3941678129298487</v>
      </c>
      <c r="J13" s="364">
        <f>IF(ISNUMBER((Tasas!D13-Datos!BF13)/Datos!BF13),(Tasas!D13-Datos!BF13)/Datos!BF13," - ")</f>
        <v>0.10729023383768925</v>
      </c>
      <c r="K13" s="367">
        <f>IF(ISNUMBER((Tasas!E13-Datos!BG13)/Datos!BG13),(Tasas!E13-Datos!BG13)/Datos!BG13," - ")</f>
        <v>-0.30794360385144426</v>
      </c>
      <c r="M13" t="e">
        <f>IF(Monitorios="SI",Datos!CE13,0)</f>
        <v>#REF!</v>
      </c>
      <c r="N13" t="e">
        <f>IF(Monitorios="SI",Datos!CF13,0)</f>
        <v>#REF!</v>
      </c>
      <c r="O13" t="e">
        <f>IF(Monitorios="SI",Datos!CG13,0)</f>
        <v>#REF!</v>
      </c>
      <c r="P13" t="e">
        <f>IF(Monitorios="SI",Datos!CH13,0)</f>
        <v>#REF!</v>
      </c>
      <c r="Q13">
        <f>IF(J_V="SI",0,Datos!AG13)</f>
        <v>0</v>
      </c>
      <c r="R13">
        <f>IF(J_V="SI",0,Datos!AH13)</f>
        <v>0</v>
      </c>
      <c r="S13">
        <f>IF(J_V="SI",0,Datos!AI13)</f>
        <v>0</v>
      </c>
      <c r="T13">
        <f>IF(J_V="SI",0,Datos!AJ13)</f>
        <v>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0.11475409836065574</v>
      </c>
      <c r="E17" s="357">
        <f>IF(ISNUMBER(
   IF(D_I="SI",(Datos!J17-Datos!T17)/Datos!T17,(Datos!J17+Datos!AD17-(Datos!T17+Datos!AL17))/(Datos!T17+Datos!AL17))
     ),IF(D_I="SI",(Datos!J17-Datos!T17)/Datos!T17,(Datos!J17+Datos!AD17-(Datos!T17+Datos!AL17))/(Datos!T17+Datos!AL17))," - ")</f>
        <v>1.8241758241758241</v>
      </c>
      <c r="F17" s="357">
        <f>IF(ISNUMBER(
   IF(D_I="SI",(Datos!K17-Datos!U17)/Datos!U17,(Datos!K17+Datos!AE17-(Datos!U17+Datos!AM17))/(Datos!U17+Datos!AM17))
     ),IF(D_I="SI",(Datos!K17-Datos!U17)/Datos!U17,(Datos!K17+Datos!AE17-(Datos!U17+Datos!AM17))/(Datos!U17+Datos!AM17))," - ")</f>
        <v>1.6829268292682926</v>
      </c>
      <c r="G17" s="358">
        <f>IF(ISNUMBER(
   IF(D_I="SI",(Datos!L17-Datos!V17)/Datos!V17,(Datos!L17+Datos!AF17-(Datos!V17+Datos!AN17))/(Datos!V17+Datos!AN17))
     ),IF(D_I="SI",(Datos!L17-Datos!V17)/Datos!V17,(Datos!L17+Datos!AF17-(Datos!V17+Datos!AN17))/(Datos!V17+Datos!AN17))," - ")</f>
        <v>0.62790697674418605</v>
      </c>
      <c r="H17" s="234">
        <f>IF(ISNUMBER((Datos!M17-Datos!W17)/Datos!W17),(Datos!M17-Datos!W17)/Datos!W17," - ")</f>
        <v>3.1428571428571428</v>
      </c>
      <c r="I17" s="359">
        <f>IF(ISNUMBER((Tasas!C17-Datos!BE17)/Datos!BE17),(Tasas!C17-Datos!BE17)/Datos!BE17," - ")</f>
        <v>-0.39323467230443976</v>
      </c>
      <c r="J17" s="358">
        <f>IF(ISNUMBER((Tasas!D17-Datos!BF17)/Datos!BF17),(Tasas!D17-Datos!BF17)/Datos!BF17," - ")</f>
        <v>0.54415584415584406</v>
      </c>
      <c r="K17" s="360">
        <f>IF(ISNUMBER((Tasas!E17-Datos!BG17)/Datos!BG17),(Tasas!E17-Datos!BG17)/Datos!BG17," - ")</f>
        <v>-0.20305023923444979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10.803278688524591</v>
      </c>
      <c r="E18" s="363">
        <f>IF(ISNUMBER(
   IF(D_I="SI",(Datos!J18-Datos!T18)/Datos!T18,(Datos!J18+Datos!AD18-(Datos!T18+Datos!AL18))/(Datos!T18+Datos!AL18))
     ),IF(D_I="SI",(Datos!J18-Datos!T18)/Datos!T18,(Datos!J18+Datos!AD18-(Datos!T18+Datos!AL18))/(Datos!T18+Datos!AL18))," - ")</f>
        <v>8.3296703296703303</v>
      </c>
      <c r="F18" s="363">
        <f>IF(ISNUMBER(
   IF(D_I="SI",(Datos!K18-Datos!U18)/Datos!U18,(Datos!K18+Datos!AE18-(Datos!U18+Datos!AM18))/(Datos!U18+Datos!AM18))
     ),IF(D_I="SI",(Datos!K18-Datos!U18)/Datos!U18,(Datos!K18+Datos!AE18-(Datos!U18+Datos!AM18))/(Datos!U18+Datos!AM18))," - ")</f>
        <v>6.6707317073170733</v>
      </c>
      <c r="G18" s="364">
        <f>IF(ISNUMBER(
   IF(D_I="SI",(Datos!L18-Datos!V18)/Datos!V18,(Datos!L18+Datos!AF18-(Datos!V18+Datos!AN18))/(Datos!V18+Datos!AN18))
     ),IF(D_I="SI",(Datos!L18-Datos!V18)/Datos!V18,(Datos!L18+Datos!AF18-(Datos!V18+Datos!AN18))/(Datos!V18+Datos!AN18))," - ")</f>
        <v>12.286821705426357</v>
      </c>
      <c r="H18" s="365">
        <f>IF(ISNUMBER((Datos!M18-Datos!W18)/Datos!W18),(Datos!M18-Datos!W18)/Datos!W18," - ")</f>
        <v>8.8095238095238102</v>
      </c>
      <c r="I18" s="366">
        <f>IF(ISNUMBER((Tasas!C18-Datos!BE18)/Datos!BE18),(Tasas!C18-Datos!BE18)/Datos!BE18," - ")</f>
        <v>0.7321452779729114</v>
      </c>
      <c r="J18" s="364">
        <f>IF(ISNUMBER((Tasas!D18-Datos!BF18)/Datos!BF18),(Tasas!D18-Datos!BF18)/Datos!BF18," - ")</f>
        <v>0.27882504353092596</v>
      </c>
      <c r="K18" s="367">
        <f>IF(ISNUMBER((Tasas!E18-Datos!BG18)/Datos!BG18),(Tasas!E18-Datos!BG18)/Datos!BG18," - ")</f>
        <v>0.34568236967617766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28.006410256410255</v>
      </c>
      <c r="E19" s="372">
        <f>IF(ISNUMBER(
   IF(J_V="SI",(Datos!J19-Datos!T19)/Datos!T19,(Datos!J19+Datos!Z19-(Datos!T19+Datos!AH19))/(Datos!T19+Datos!AH19))
     ),IF(J_V="SI",(Datos!J19-Datos!T19)/Datos!T19,(Datos!J19+Datos!Z19-(Datos!T19+Datos!AH19))/(Datos!T19+Datos!AH19))," - ")</f>
        <v>14.15566037735849</v>
      </c>
      <c r="F19" s="372">
        <f>IF(ISNUMBER(
   IF(J_V="SI",(Datos!K19-Datos!U19)/Datos!U19,(Datos!K19+Datos!AA19-(Datos!U19+Datos!AI19))/(Datos!U19+Datos!AI19))
     ),IF(J_V="SI",(Datos!K19-Datos!U19)/Datos!U19,(Datos!K19+Datos!AA19-(Datos!U19+Datos!AI19))/(Datos!U19+Datos!AI19))," - ")</f>
        <v>14.235955056179776</v>
      </c>
      <c r="G19" s="373">
        <f>IF(ISNUMBER(
   IF(J_V="SI",(Datos!L19-Datos!V19)/Datos!V19,(Datos!L19+Datos!AB19-(Datos!V19+Datos!AJ19))/(Datos!V19+Datos!AJ19))
     ),IF(J_V="SI",(Datos!L19-Datos!V19)/Datos!V19,(Datos!L19+Datos!AB19-(Datos!V19+Datos!AJ19))/(Datos!V19+Datos!AJ19))," - ")</f>
        <v>26.150837988826815</v>
      </c>
      <c r="H19" s="374">
        <f>IF(ISNUMBER((Datos!M19-Datos!W19)/Datos!W19),(Datos!M19-Datos!W19)/Datos!W19," - ")</f>
        <v>21.958333333333332</v>
      </c>
      <c r="I19" s="371">
        <f>IF(ISNUMBER((Tasas!C19-Datos!BE19)/Datos!BE19),(Tasas!C19-Datos!BE19)/Datos!BE19," - ")</f>
        <v>0.78202402729025577</v>
      </c>
      <c r="J19" s="372">
        <f>IF(ISNUMBER((Tasas!D19-Datos!BF19)/Datos!BF19),(Tasas!D19-Datos!BF19)/Datos!BF19," - ")</f>
        <v>0.50685226155358898</v>
      </c>
      <c r="K19" s="373">
        <f>IF(ISNUMBER((Tasas!E19-Datos!BG19)/Datos!BG19),(Tasas!E19-Datos!BG19)/Datos!BG19," - ")</f>
        <v>0.38010212261126053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5.8464596729797726</v>
      </c>
      <c r="E21" s="282">
        <f t="shared" si="1"/>
        <v>4.2397959668332321</v>
      </c>
      <c r="F21" s="282">
        <f t="shared" si="1"/>
        <v>3.4405892425536528</v>
      </c>
      <c r="G21" s="283">
        <f t="shared" si="1"/>
        <v>6.5938147177866666</v>
      </c>
      <c r="H21" s="289">
        <f t="shared" si="1"/>
        <v>55.002526912336066</v>
      </c>
      <c r="I21" s="281">
        <f t="shared" si="1"/>
        <v>0.72816107817912656</v>
      </c>
      <c r="J21" s="282">
        <f t="shared" si="1"/>
        <v>0.21762500517626687</v>
      </c>
      <c r="K21" s="283">
        <f t="shared" si="1"/>
        <v>0.50012030106037264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XhyP2I9JfuVtwCXWIe1YRHKUJKYd65oLNP/X3st+S1fFhPPHwMb4/scgNGPc5KlRH8fjNdyideLDHm8/Ko8pA==" saltValue="Yc09ubfdhxGgLVlLwE511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